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ERHITUNGAN ARTIKEL SKRIPSI\"/>
    </mc:Choice>
  </mc:AlternateContent>
  <xr:revisionPtr revIDLastSave="0" documentId="13_ncr:1_{1AEB7CAD-5F0A-48D2-B2A9-B81222A71022}" xr6:coauthVersionLast="47" xr6:coauthVersionMax="47" xr10:uidLastSave="{00000000-0000-0000-0000-000000000000}"/>
  <bookViews>
    <workbookView xWindow="-120" yWindow="-120" windowWidth="20730" windowHeight="11160" xr2:uid="{962BA1F3-BC4D-4339-A45D-7052D08BE7B7}"/>
  </bookViews>
  <sheets>
    <sheet name="14 HST" sheetId="1" r:id="rId1"/>
    <sheet name="28 HST" sheetId="4" r:id="rId2"/>
    <sheet name="42 HST" sheetId="7" r:id="rId3"/>
    <sheet name="56 HST" sheetId="5" r:id="rId4"/>
    <sheet name="Sheet1" sheetId="8" r:id="rId5"/>
    <sheet name="Sheet2" sheetId="9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9" l="1"/>
  <c r="S10" i="9"/>
  <c r="S11" i="9"/>
  <c r="S12" i="9"/>
  <c r="S13" i="9"/>
  <c r="S8" i="9"/>
  <c r="AG22" i="1"/>
  <c r="AC22" i="1"/>
  <c r="AG21" i="1"/>
  <c r="AC21" i="1"/>
  <c r="AG20" i="1"/>
  <c r="AC20" i="1"/>
  <c r="AG19" i="1"/>
  <c r="AC19" i="1"/>
  <c r="AG18" i="1"/>
  <c r="AC18" i="1"/>
  <c r="AG17" i="1"/>
  <c r="AC17" i="1"/>
  <c r="AG16" i="1"/>
  <c r="AC16" i="1"/>
  <c r="Z13" i="1"/>
  <c r="AC12" i="1"/>
  <c r="AG11" i="1"/>
  <c r="AC11" i="1"/>
  <c r="Z11" i="1"/>
  <c r="AG12" i="1" s="1"/>
  <c r="AG10" i="1"/>
  <c r="AC10" i="1"/>
  <c r="AG9" i="1"/>
  <c r="AC9" i="1"/>
  <c r="Z8" i="1"/>
  <c r="AC7" i="1" s="1"/>
  <c r="AG7" i="1"/>
  <c r="AG6" i="1"/>
  <c r="AC6" i="1"/>
  <c r="AG5" i="1"/>
  <c r="AC5" i="1"/>
  <c r="AG22" i="4"/>
  <c r="AG21" i="4"/>
  <c r="AC21" i="4"/>
  <c r="AG20" i="4"/>
  <c r="AC20" i="4"/>
  <c r="AG19" i="4"/>
  <c r="AC19" i="4"/>
  <c r="AG18" i="4"/>
  <c r="AC18" i="4"/>
  <c r="AG17" i="4"/>
  <c r="AC17" i="4"/>
  <c r="AG16" i="4"/>
  <c r="AC16" i="4"/>
  <c r="Z13" i="4"/>
  <c r="AC22" i="4" s="1"/>
  <c r="AC12" i="4"/>
  <c r="AG11" i="4"/>
  <c r="AC11" i="4"/>
  <c r="Z11" i="4"/>
  <c r="AG12" i="4" s="1"/>
  <c r="AG10" i="4"/>
  <c r="AC10" i="4"/>
  <c r="AG9" i="4"/>
  <c r="AC9" i="4"/>
  <c r="Z8" i="4"/>
  <c r="AG7" i="4" s="1"/>
  <c r="AG6" i="4"/>
  <c r="AC6" i="4"/>
  <c r="AG5" i="4"/>
  <c r="AC5" i="4"/>
  <c r="AG22" i="7"/>
  <c r="AG21" i="7"/>
  <c r="AC21" i="7"/>
  <c r="AG20" i="7"/>
  <c r="AC20" i="7"/>
  <c r="AG19" i="7"/>
  <c r="AC19" i="7"/>
  <c r="AG18" i="7"/>
  <c r="AC18" i="7"/>
  <c r="AG17" i="7"/>
  <c r="AC17" i="7"/>
  <c r="AG16" i="7"/>
  <c r="AC16" i="7"/>
  <c r="Z13" i="7"/>
  <c r="AC22" i="7" s="1"/>
  <c r="AC12" i="7"/>
  <c r="AG11" i="7"/>
  <c r="AC11" i="7"/>
  <c r="Z11" i="7"/>
  <c r="AG12" i="7" s="1"/>
  <c r="AG10" i="7"/>
  <c r="AC10" i="7"/>
  <c r="AG9" i="7"/>
  <c r="AC9" i="7"/>
  <c r="Z8" i="7"/>
  <c r="AG7" i="7" s="1"/>
  <c r="AG6" i="7"/>
  <c r="AC6" i="7"/>
  <c r="AG5" i="7"/>
  <c r="AC5" i="7"/>
  <c r="J18" i="1"/>
  <c r="I18" i="1"/>
  <c r="H18" i="1"/>
  <c r="J18" i="4"/>
  <c r="I18" i="4"/>
  <c r="H18" i="4"/>
  <c r="J18" i="7"/>
  <c r="I18" i="7"/>
  <c r="H18" i="7"/>
  <c r="AG22" i="5"/>
  <c r="AG21" i="5"/>
  <c r="AG20" i="5"/>
  <c r="AG19" i="5"/>
  <c r="AG18" i="5"/>
  <c r="AG17" i="5"/>
  <c r="AG16" i="5"/>
  <c r="AC22" i="5"/>
  <c r="AC21" i="5"/>
  <c r="AC20" i="5"/>
  <c r="AC19" i="5"/>
  <c r="AC17" i="5"/>
  <c r="AC18" i="5"/>
  <c r="AC16" i="5"/>
  <c r="AG7" i="5"/>
  <c r="AG6" i="5"/>
  <c r="AG5" i="5"/>
  <c r="AG12" i="5"/>
  <c r="AG11" i="5"/>
  <c r="AG10" i="5"/>
  <c r="AG9" i="5"/>
  <c r="AC12" i="5"/>
  <c r="AC11" i="5"/>
  <c r="AC10" i="5"/>
  <c r="I18" i="5"/>
  <c r="J18" i="5"/>
  <c r="H18" i="5"/>
  <c r="AC9" i="5" s="1"/>
  <c r="AC7" i="5"/>
  <c r="AC6" i="5"/>
  <c r="AC5" i="5"/>
  <c r="Z11" i="5"/>
  <c r="Z13" i="5"/>
  <c r="Z8" i="5"/>
  <c r="AC7" i="4" l="1"/>
  <c r="AC7" i="7"/>
  <c r="J23" i="7"/>
  <c r="I23" i="7"/>
  <c r="H23" i="7"/>
  <c r="I22" i="7"/>
  <c r="H22" i="7"/>
  <c r="J22" i="7" s="1"/>
  <c r="I21" i="7"/>
  <c r="H21" i="7"/>
  <c r="J21" i="7" s="1"/>
  <c r="J17" i="7"/>
  <c r="I17" i="7"/>
  <c r="H17" i="7"/>
  <c r="E17" i="7"/>
  <c r="D17" i="7"/>
  <c r="J16" i="7"/>
  <c r="I16" i="7"/>
  <c r="H16" i="7"/>
  <c r="E16" i="7"/>
  <c r="D16" i="7"/>
  <c r="J15" i="7"/>
  <c r="I15" i="7"/>
  <c r="H15" i="7"/>
  <c r="E15" i="7"/>
  <c r="D15" i="7"/>
  <c r="J14" i="7"/>
  <c r="I14" i="7"/>
  <c r="H14" i="7"/>
  <c r="E14" i="7"/>
  <c r="D14" i="7"/>
  <c r="V12" i="7"/>
  <c r="U12" i="7"/>
  <c r="V10" i="7"/>
  <c r="U10" i="7"/>
  <c r="J10" i="7"/>
  <c r="J9" i="7"/>
  <c r="J8" i="7"/>
  <c r="V7" i="7"/>
  <c r="U7" i="7"/>
  <c r="J7" i="7"/>
  <c r="M4" i="7"/>
  <c r="I23" i="5"/>
  <c r="H23" i="5"/>
  <c r="I22" i="5"/>
  <c r="H22" i="5"/>
  <c r="I21" i="5"/>
  <c r="H21" i="5"/>
  <c r="J17" i="5"/>
  <c r="I17" i="5"/>
  <c r="H17" i="5"/>
  <c r="E17" i="5"/>
  <c r="D17" i="5"/>
  <c r="J16" i="5"/>
  <c r="I16" i="5"/>
  <c r="H16" i="5"/>
  <c r="E16" i="5"/>
  <c r="D16" i="5"/>
  <c r="J15" i="5"/>
  <c r="I15" i="5"/>
  <c r="H15" i="5"/>
  <c r="E15" i="5"/>
  <c r="D15" i="5"/>
  <c r="J14" i="5"/>
  <c r="I14" i="5"/>
  <c r="H14" i="5"/>
  <c r="E14" i="5"/>
  <c r="D14" i="5"/>
  <c r="W12" i="5"/>
  <c r="V12" i="5"/>
  <c r="W10" i="5"/>
  <c r="V10" i="5"/>
  <c r="J10" i="5"/>
  <c r="J9" i="5"/>
  <c r="J8" i="5"/>
  <c r="W7" i="5"/>
  <c r="V7" i="5"/>
  <c r="J7" i="5"/>
  <c r="M4" i="5"/>
  <c r="I23" i="4"/>
  <c r="H23" i="4"/>
  <c r="J23" i="4" s="1"/>
  <c r="I22" i="4"/>
  <c r="H22" i="4"/>
  <c r="J22" i="4" s="1"/>
  <c r="I21" i="4"/>
  <c r="H21" i="4"/>
  <c r="J17" i="4"/>
  <c r="I17" i="4"/>
  <c r="H17" i="4"/>
  <c r="E17" i="4"/>
  <c r="D17" i="4"/>
  <c r="J16" i="4"/>
  <c r="I16" i="4"/>
  <c r="H16" i="4"/>
  <c r="E16" i="4"/>
  <c r="D16" i="4"/>
  <c r="J15" i="4"/>
  <c r="I15" i="4"/>
  <c r="H15" i="4"/>
  <c r="E15" i="4"/>
  <c r="D15" i="4"/>
  <c r="J14" i="4"/>
  <c r="I14" i="4"/>
  <c r="H14" i="4"/>
  <c r="E14" i="4"/>
  <c r="D14" i="4"/>
  <c r="V12" i="4"/>
  <c r="U12" i="4"/>
  <c r="V10" i="4"/>
  <c r="U10" i="4"/>
  <c r="J10" i="4"/>
  <c r="J9" i="4"/>
  <c r="J8" i="4"/>
  <c r="V7" i="4"/>
  <c r="U7" i="4"/>
  <c r="J7" i="4"/>
  <c r="J11" i="4" s="1"/>
  <c r="M5" i="4" s="1"/>
  <c r="M4" i="4"/>
  <c r="I23" i="1"/>
  <c r="H23" i="1"/>
  <c r="I22" i="1"/>
  <c r="H22" i="1"/>
  <c r="I21" i="1"/>
  <c r="H21" i="1"/>
  <c r="J21" i="1" s="1"/>
  <c r="J17" i="1"/>
  <c r="I17" i="1"/>
  <c r="H17" i="1"/>
  <c r="E17" i="1"/>
  <c r="D17" i="1"/>
  <c r="J16" i="1"/>
  <c r="I16" i="1"/>
  <c r="H16" i="1"/>
  <c r="E16" i="1"/>
  <c r="D16" i="1"/>
  <c r="J15" i="1"/>
  <c r="I15" i="1"/>
  <c r="H15" i="1"/>
  <c r="E15" i="1"/>
  <c r="D15" i="1"/>
  <c r="J14" i="1"/>
  <c r="I14" i="1"/>
  <c r="H14" i="1"/>
  <c r="E14" i="1"/>
  <c r="D14" i="1"/>
  <c r="V12" i="1"/>
  <c r="U12" i="1"/>
  <c r="V10" i="1"/>
  <c r="U10" i="1"/>
  <c r="J10" i="1"/>
  <c r="J9" i="1"/>
  <c r="J8" i="1"/>
  <c r="V7" i="1"/>
  <c r="U7" i="1"/>
  <c r="J7" i="1"/>
  <c r="M4" i="1"/>
  <c r="D18" i="4" l="1"/>
  <c r="J11" i="7"/>
  <c r="M5" i="7" s="1"/>
  <c r="M10" i="7" s="1"/>
  <c r="Q6" i="7" s="1"/>
  <c r="J22" i="1"/>
  <c r="E18" i="4"/>
  <c r="D18" i="7"/>
  <c r="J21" i="4"/>
  <c r="E18" i="7"/>
  <c r="M11" i="7"/>
  <c r="Q7" i="7" s="1"/>
  <c r="R7" i="7" s="1"/>
  <c r="M9" i="7"/>
  <c r="Q15" i="7"/>
  <c r="M8" i="7"/>
  <c r="M7" i="7"/>
  <c r="J23" i="5"/>
  <c r="J22" i="5"/>
  <c r="E18" i="5"/>
  <c r="D18" i="5"/>
  <c r="J11" i="5"/>
  <c r="M5" i="5" s="1"/>
  <c r="Q15" i="5" s="1"/>
  <c r="J21" i="5"/>
  <c r="M11" i="4"/>
  <c r="Q7" i="4" s="1"/>
  <c r="R7" i="4" s="1"/>
  <c r="M10" i="4"/>
  <c r="Q6" i="4" s="1"/>
  <c r="M12" i="4"/>
  <c r="Q10" i="4" s="1"/>
  <c r="R10" i="4" s="1"/>
  <c r="Q15" i="4"/>
  <c r="M9" i="4"/>
  <c r="M8" i="4"/>
  <c r="M7" i="4"/>
  <c r="M6" i="4"/>
  <c r="J23" i="1"/>
  <c r="E18" i="1"/>
  <c r="D18" i="1"/>
  <c r="J11" i="1"/>
  <c r="M5" i="1" s="1"/>
  <c r="M13" i="7" l="1"/>
  <c r="Q8" i="7" s="1"/>
  <c r="R8" i="7" s="1"/>
  <c r="M13" i="4"/>
  <c r="Q8" i="4" s="1"/>
  <c r="R8" i="4" s="1"/>
  <c r="M12" i="7"/>
  <c r="Q10" i="7" s="1"/>
  <c r="R10" i="7" s="1"/>
  <c r="M6" i="7"/>
  <c r="M11" i="1"/>
  <c r="Q7" i="1" s="1"/>
  <c r="R7" i="1" s="1"/>
  <c r="R6" i="7"/>
  <c r="S7" i="7"/>
  <c r="T7" i="7" s="1"/>
  <c r="M10" i="5"/>
  <c r="Q6" i="5" s="1"/>
  <c r="R6" i="5" s="1"/>
  <c r="M12" i="5"/>
  <c r="Q10" i="5" s="1"/>
  <c r="R10" i="5" s="1"/>
  <c r="M6" i="5"/>
  <c r="M7" i="5"/>
  <c r="M8" i="5"/>
  <c r="M9" i="5"/>
  <c r="M11" i="5"/>
  <c r="Q7" i="5" s="1"/>
  <c r="R7" i="5" s="1"/>
  <c r="M14" i="4"/>
  <c r="Q11" i="4" s="1"/>
  <c r="R11" i="4" s="1"/>
  <c r="S10" i="4" s="1"/>
  <c r="T10" i="4" s="1"/>
  <c r="R6" i="4"/>
  <c r="M15" i="4"/>
  <c r="Q12" i="4" s="1"/>
  <c r="R12" i="4" s="1"/>
  <c r="S7" i="4"/>
  <c r="T7" i="4" s="1"/>
  <c r="M6" i="1"/>
  <c r="M8" i="1"/>
  <c r="Q15" i="1"/>
  <c r="M7" i="1"/>
  <c r="M12" i="1"/>
  <c r="Q10" i="1" s="1"/>
  <c r="R10" i="1" s="1"/>
  <c r="M10" i="1"/>
  <c r="Q6" i="1" s="1"/>
  <c r="R6" i="1" s="1"/>
  <c r="M9" i="1"/>
  <c r="M15" i="7" l="1"/>
  <c r="Q12" i="7" s="1"/>
  <c r="R12" i="7" s="1"/>
  <c r="M16" i="4"/>
  <c r="Q13" i="4" s="1"/>
  <c r="R13" i="4" s="1"/>
  <c r="S12" i="4" s="1"/>
  <c r="T12" i="4" s="1"/>
  <c r="M16" i="7"/>
  <c r="Q13" i="7" s="1"/>
  <c r="R13" i="7" s="1"/>
  <c r="M14" i="7"/>
  <c r="Q11" i="7" s="1"/>
  <c r="R11" i="7" s="1"/>
  <c r="S10" i="7" s="1"/>
  <c r="T10" i="7" s="1"/>
  <c r="M14" i="5"/>
  <c r="Q11" i="5" s="1"/>
  <c r="R11" i="5" s="1"/>
  <c r="S10" i="5" s="1"/>
  <c r="T10" i="5" s="1"/>
  <c r="M15" i="5"/>
  <c r="Q12" i="5" s="1"/>
  <c r="R12" i="5" s="1"/>
  <c r="M13" i="5"/>
  <c r="Q8" i="5" s="1"/>
  <c r="R8" i="5" s="1"/>
  <c r="S7" i="5" s="1"/>
  <c r="T7" i="5" s="1"/>
  <c r="M15" i="1"/>
  <c r="Q12" i="1" s="1"/>
  <c r="R12" i="1" s="1"/>
  <c r="M14" i="1"/>
  <c r="Q11" i="1" s="1"/>
  <c r="R11" i="1" s="1"/>
  <c r="S10" i="1" s="1"/>
  <c r="T10" i="1" s="1"/>
  <c r="M13" i="1"/>
  <c r="Q8" i="1" s="1"/>
  <c r="R8" i="1" s="1"/>
  <c r="S7" i="1" s="1"/>
  <c r="T7" i="1" s="1"/>
  <c r="Q14" i="7" l="1"/>
  <c r="Q14" i="4"/>
  <c r="S12" i="7"/>
  <c r="T12" i="7" s="1"/>
  <c r="M16" i="5"/>
  <c r="Q13" i="5" s="1"/>
  <c r="R13" i="5" s="1"/>
  <c r="S12" i="5" s="1"/>
  <c r="T12" i="5" s="1"/>
  <c r="M16" i="1"/>
  <c r="Q13" i="1" s="1"/>
  <c r="R13" i="1" s="1"/>
  <c r="S12" i="1" s="1"/>
  <c r="T12" i="1" s="1"/>
  <c r="Q14" i="5" l="1"/>
  <c r="Q14" i="1"/>
</calcChain>
</file>

<file path=xl/sharedStrings.xml><?xml version="1.0" encoding="utf-8"?>
<sst xmlns="http://schemas.openxmlformats.org/spreadsheetml/2006/main" count="639" uniqueCount="103">
  <si>
    <t>Split Plot RAK 2 Faktor</t>
  </si>
  <si>
    <t>ANOVA</t>
  </si>
  <si>
    <t>F Tabel</t>
  </si>
  <si>
    <t>Petak Anakan</t>
  </si>
  <si>
    <t>T0</t>
  </si>
  <si>
    <t>T1</t>
  </si>
  <si>
    <t>Total</t>
  </si>
  <si>
    <t>EY2</t>
  </si>
  <si>
    <t>Sumber Keragaman</t>
  </si>
  <si>
    <t>dB</t>
  </si>
  <si>
    <t>JK</t>
  </si>
  <si>
    <t>KT</t>
  </si>
  <si>
    <t>Fhitung</t>
  </si>
  <si>
    <t>FK</t>
  </si>
  <si>
    <t xml:space="preserve">Petak utama </t>
  </si>
  <si>
    <t>E0</t>
  </si>
  <si>
    <t>EB</t>
  </si>
  <si>
    <t>EM</t>
  </si>
  <si>
    <t>Jijk (Total)</t>
  </si>
  <si>
    <t>(Ulangan) Ri</t>
  </si>
  <si>
    <t>I</t>
  </si>
  <si>
    <t>Jij</t>
  </si>
  <si>
    <t>(Soil treatment) Aj</t>
  </si>
  <si>
    <t>II</t>
  </si>
  <si>
    <t>Jik</t>
  </si>
  <si>
    <t>(Galat A) RAij</t>
  </si>
  <si>
    <t>III</t>
  </si>
  <si>
    <t>Jjk</t>
  </si>
  <si>
    <t>Anak petak</t>
  </si>
  <si>
    <t>IV</t>
  </si>
  <si>
    <t>Ry</t>
  </si>
  <si>
    <t>(Penyemprotan)    Pk</t>
  </si>
  <si>
    <t>Ay</t>
  </si>
  <si>
    <t>(Galat P)           RPik</t>
  </si>
  <si>
    <t>Petak Utama</t>
  </si>
  <si>
    <t>Anak Petak</t>
  </si>
  <si>
    <t>Py</t>
  </si>
  <si>
    <t>(Interaksi AxP) APjk</t>
  </si>
  <si>
    <t>ulangan</t>
  </si>
  <si>
    <t>A0</t>
  </si>
  <si>
    <t>A1</t>
  </si>
  <si>
    <t>Ulangan</t>
  </si>
  <si>
    <t>P0</t>
  </si>
  <si>
    <t>P1</t>
  </si>
  <si>
    <t>P2</t>
  </si>
  <si>
    <t>RAy</t>
  </si>
  <si>
    <t>RAPijk</t>
  </si>
  <si>
    <t>RPy</t>
  </si>
  <si>
    <t>APy</t>
  </si>
  <si>
    <t>Faktor koreksi</t>
  </si>
  <si>
    <t>RAPy</t>
  </si>
  <si>
    <t>Keterangan</t>
  </si>
  <si>
    <t>R = ulangan</t>
  </si>
  <si>
    <t>A= soil treatment</t>
  </si>
  <si>
    <t>Interaksi</t>
  </si>
  <si>
    <t>P=penyemprotan tajuk</t>
  </si>
  <si>
    <t>tn</t>
  </si>
  <si>
    <t>Berbeda/Berpengaruh Tidak Nyata</t>
  </si>
  <si>
    <t>*</t>
  </si>
  <si>
    <t>Berbeda/Berpengaruh Nyata</t>
  </si>
  <si>
    <t>**</t>
  </si>
  <si>
    <t>Berbeda/Berpengaruh Sangat Nyata</t>
  </si>
  <si>
    <t>Jumlah Anakan Padi 14 HST</t>
  </si>
  <si>
    <t>Jumlah Anakan Padi 28 HST</t>
  </si>
  <si>
    <t>Jumlah Anakan Padi 42 HST</t>
  </si>
  <si>
    <r>
      <rPr>
        <sz val="12"/>
        <color theme="1"/>
        <rFont val="Calibri"/>
        <family val="2"/>
      </rPr>
      <t>√</t>
    </r>
    <r>
      <rPr>
        <sz val="12"/>
        <color theme="1"/>
        <rFont val="Times New Roman"/>
        <family val="1"/>
      </rPr>
      <t>(KTG/n)</t>
    </r>
  </si>
  <si>
    <t>BNT tabel</t>
  </si>
  <si>
    <t>BNT  1%</t>
  </si>
  <si>
    <t>Perlakuan</t>
  </si>
  <si>
    <t>a</t>
  </si>
  <si>
    <t>e</t>
  </si>
  <si>
    <t>b</t>
  </si>
  <si>
    <t>BNT 1%</t>
  </si>
  <si>
    <t>BNT 5%</t>
  </si>
  <si>
    <t>c</t>
  </si>
  <si>
    <t>BNT  5%</t>
  </si>
  <si>
    <t>T0E0</t>
  </si>
  <si>
    <t>T0E1</t>
  </si>
  <si>
    <t>T0E2</t>
  </si>
  <si>
    <t>T1E0</t>
  </si>
  <si>
    <t>T1EB</t>
  </si>
  <si>
    <t>T1EM</t>
  </si>
  <si>
    <t>d</t>
  </si>
  <si>
    <t>Dengan Trichoderma (T0)</t>
  </si>
  <si>
    <t>Tanpa Trichoderma (T1)</t>
  </si>
  <si>
    <t>Tanpa Entomopatogen (E0)</t>
  </si>
  <si>
    <t>Beuveria bausiana (EB)</t>
  </si>
  <si>
    <t>Metharrhizium anipsoliae (EM)</t>
  </si>
  <si>
    <t xml:space="preserve">Split Plot </t>
  </si>
  <si>
    <t>Umur</t>
  </si>
  <si>
    <t>14 HST</t>
  </si>
  <si>
    <t>28 HST</t>
  </si>
  <si>
    <t>42 HST</t>
  </si>
  <si>
    <t>56 HST</t>
  </si>
  <si>
    <t>Tanpa Trichoderma (T0)</t>
  </si>
  <si>
    <t>Dengan Trichoderma (T1)</t>
  </si>
  <si>
    <t xml:space="preserve">Anakan Petak </t>
  </si>
  <si>
    <t>Beauveria bassiana (EB)</t>
  </si>
  <si>
    <t>Metharhizium (EM)</t>
  </si>
  <si>
    <t>T0EB</t>
  </si>
  <si>
    <t>T0EM</t>
  </si>
  <si>
    <t xml:space="preserve">Petak Utama </t>
  </si>
  <si>
    <t xml:space="preserve">Ulangan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</si>
</sst>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</font>
    <font>
      <sz val="12"/>
      <color theme="1"/>
      <name val="Times New Roman"/>
      <family val="2"/>
    </font>
    <font>
      <b/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9" fontId="2" fillId="0" borderId="4" xfId="1" applyFont="1" applyBorder="1" applyAlignment="1">
      <alignment horizontal="center"/>
    </xf>
    <xf numFmtId="0" fontId="2" fillId="3" borderId="0" xfId="0" applyFont="1" applyFill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center"/>
    </xf>
    <xf numFmtId="0" fontId="2" fillId="0" borderId="4" xfId="0" applyFont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4" xfId="0" applyNumberFormat="1" applyFont="1" applyBorder="1"/>
    <xf numFmtId="0" fontId="2" fillId="3" borderId="4" xfId="0" applyFont="1" applyFill="1" applyBorder="1"/>
    <xf numFmtId="0" fontId="2" fillId="0" borderId="6" xfId="0" applyFont="1" applyBorder="1" applyAlignment="1">
      <alignment horizontal="right"/>
    </xf>
    <xf numFmtId="0" fontId="2" fillId="0" borderId="6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2" fillId="0" borderId="0" xfId="0" applyNumberFormat="1" applyFont="1"/>
    <xf numFmtId="0" fontId="6" fillId="0" borderId="0" xfId="0" applyFont="1"/>
    <xf numFmtId="9" fontId="2" fillId="0" borderId="4" xfId="0" applyNumberFormat="1" applyFont="1" applyBorder="1"/>
    <xf numFmtId="9" fontId="2" fillId="0" borderId="6" xfId="0" applyNumberFormat="1" applyFont="1" applyBorder="1"/>
    <xf numFmtId="2" fontId="2" fillId="0" borderId="0" xfId="0" applyNumberFormat="1" applyFont="1"/>
    <xf numFmtId="2" fontId="2" fillId="0" borderId="1" xfId="0" applyNumberFormat="1" applyFont="1" applyBorder="1"/>
    <xf numFmtId="2" fontId="2" fillId="0" borderId="4" xfId="0" applyNumberFormat="1" applyFont="1" applyBorder="1"/>
    <xf numFmtId="2" fontId="2" fillId="0" borderId="6" xfId="0" applyNumberFormat="1" applyFont="1" applyBorder="1"/>
    <xf numFmtId="9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/>
    <xf numFmtId="0" fontId="8" fillId="0" borderId="7" xfId="0" applyFont="1" applyBorder="1"/>
    <xf numFmtId="0" fontId="9" fillId="0" borderId="18" xfId="0" applyFont="1" applyBorder="1"/>
    <xf numFmtId="0" fontId="8" fillId="0" borderId="0" xfId="0" applyFont="1"/>
    <xf numFmtId="0" fontId="8" fillId="0" borderId="19" xfId="0" applyFont="1" applyBorder="1"/>
    <xf numFmtId="0" fontId="8" fillId="0" borderId="18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/>
    <xf numFmtId="0" fontId="8" fillId="0" borderId="22" xfId="0" applyFont="1" applyBorder="1"/>
    <xf numFmtId="0" fontId="9" fillId="0" borderId="18" xfId="0" applyFont="1" applyBorder="1" applyAlignment="1">
      <alignment horizontal="left" vertical="top"/>
    </xf>
    <xf numFmtId="0" fontId="8" fillId="0" borderId="23" xfId="0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4" xfId="0" applyFont="1" applyBorder="1"/>
    <xf numFmtId="0" fontId="8" fillId="0" borderId="25" xfId="0" applyFont="1" applyBorder="1"/>
    <xf numFmtId="0" fontId="10" fillId="0" borderId="21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10" fillId="0" borderId="26" xfId="0" applyFont="1" applyBorder="1" applyAlignment="1">
      <alignment horizontal="right" vertical="center"/>
    </xf>
    <xf numFmtId="0" fontId="10" fillId="3" borderId="26" xfId="0" applyFont="1" applyFill="1" applyBorder="1" applyAlignment="1">
      <alignment vertical="center"/>
    </xf>
    <xf numFmtId="0" fontId="10" fillId="3" borderId="26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9" fontId="8" fillId="0" borderId="16" xfId="0" applyNumberFormat="1" applyFont="1" applyBorder="1" applyAlignment="1">
      <alignment horizontal="center" vertical="center"/>
    </xf>
    <xf numFmtId="9" fontId="8" fillId="0" borderId="17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5BD2-CAFF-4297-A204-B5474BBF6472}">
  <dimension ref="B1:AH52"/>
  <sheetViews>
    <sheetView tabSelected="1" topLeftCell="O7" workbookViewId="0">
      <selection activeCell="X26" sqref="X26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72" t="s">
        <v>0</v>
      </c>
      <c r="E1" s="72"/>
      <c r="F1" s="72"/>
      <c r="G1" s="72"/>
    </row>
    <row r="2" spans="3:34" x14ac:dyDescent="0.25">
      <c r="D2" s="73" t="s">
        <v>62</v>
      </c>
      <c r="E2" s="73"/>
      <c r="F2" s="73"/>
      <c r="G2" s="73"/>
      <c r="O2" s="1" t="s">
        <v>1</v>
      </c>
    </row>
    <row r="3" spans="3:34" x14ac:dyDescent="0.25">
      <c r="O3" s="3"/>
      <c r="P3" s="3"/>
      <c r="Q3" s="3"/>
      <c r="R3" s="3"/>
      <c r="S3" s="3"/>
      <c r="T3" s="3"/>
      <c r="U3" s="71" t="s">
        <v>2</v>
      </c>
      <c r="V3" s="71"/>
      <c r="X3" s="71" t="s">
        <v>66</v>
      </c>
      <c r="Y3" s="71"/>
      <c r="AB3" s="72"/>
      <c r="AC3" s="72"/>
    </row>
    <row r="4" spans="3:34" ht="31.5" customHeight="1" x14ac:dyDescent="0.25">
      <c r="C4" s="74" t="s">
        <v>3</v>
      </c>
      <c r="D4" s="75" t="s">
        <v>4</v>
      </c>
      <c r="E4" s="75"/>
      <c r="F4" s="75"/>
      <c r="G4" s="75" t="s">
        <v>5</v>
      </c>
      <c r="H4" s="75"/>
      <c r="I4" s="76"/>
      <c r="J4" s="77" t="s">
        <v>6</v>
      </c>
      <c r="K4" s="7">
        <v>4</v>
      </c>
      <c r="L4" s="7" t="s">
        <v>7</v>
      </c>
      <c r="M4" s="7">
        <f>SUMSQ(D7:I10)</f>
        <v>634.84769999999992</v>
      </c>
      <c r="O4" s="8" t="s">
        <v>8</v>
      </c>
      <c r="P4" s="9" t="s">
        <v>9</v>
      </c>
      <c r="Q4" s="8" t="s">
        <v>10</v>
      </c>
      <c r="R4" s="8" t="s">
        <v>11</v>
      </c>
      <c r="S4" s="8" t="s">
        <v>12</v>
      </c>
      <c r="T4" s="8"/>
      <c r="U4" s="10">
        <v>0.05</v>
      </c>
      <c r="V4" s="10">
        <v>0.01</v>
      </c>
      <c r="X4" s="37">
        <v>0.05</v>
      </c>
      <c r="Y4" s="37">
        <v>0.01</v>
      </c>
      <c r="Z4" s="38" t="s">
        <v>65</v>
      </c>
      <c r="AA4" s="38"/>
      <c r="AB4" s="40" t="s">
        <v>68</v>
      </c>
      <c r="AC4" s="40"/>
      <c r="AD4" s="23"/>
      <c r="AF4" s="40" t="s">
        <v>68</v>
      </c>
      <c r="AG4" s="40"/>
      <c r="AH4" s="23"/>
    </row>
    <row r="5" spans="3:34" x14ac:dyDescent="0.25">
      <c r="C5" s="74"/>
      <c r="D5" s="75"/>
      <c r="E5" s="75"/>
      <c r="F5" s="75"/>
      <c r="G5" s="75"/>
      <c r="H5" s="75"/>
      <c r="I5" s="76"/>
      <c r="J5" s="77"/>
      <c r="K5" s="7">
        <v>5</v>
      </c>
      <c r="L5" s="7" t="s">
        <v>13</v>
      </c>
      <c r="M5" s="7">
        <f>(J11^2)/24</f>
        <v>628.83843750000017</v>
      </c>
      <c r="O5" s="1" t="s">
        <v>14</v>
      </c>
      <c r="T5" s="11"/>
      <c r="AB5" s="3" t="s">
        <v>83</v>
      </c>
      <c r="AC5" s="42">
        <f>D18/12</f>
        <v>4.7983333333333338</v>
      </c>
      <c r="AD5" s="3" t="s">
        <v>69</v>
      </c>
      <c r="AF5" s="3" t="s">
        <v>83</v>
      </c>
      <c r="AG5" s="42">
        <f>D18/12</f>
        <v>4.7983333333333338</v>
      </c>
      <c r="AH5" s="3" t="s">
        <v>69</v>
      </c>
    </row>
    <row r="6" spans="3:34" x14ac:dyDescent="0.25">
      <c r="C6" s="74"/>
      <c r="D6" s="4" t="s">
        <v>15</v>
      </c>
      <c r="E6" s="4" t="s">
        <v>16</v>
      </c>
      <c r="F6" s="4" t="s">
        <v>17</v>
      </c>
      <c r="G6" s="4" t="s">
        <v>15</v>
      </c>
      <c r="H6" s="4" t="s">
        <v>16</v>
      </c>
      <c r="I6" s="5" t="s">
        <v>17</v>
      </c>
      <c r="J6" s="77"/>
      <c r="K6" s="7">
        <v>6</v>
      </c>
      <c r="L6" s="7" t="s">
        <v>18</v>
      </c>
      <c r="M6" s="12">
        <f>SUMSQ(D7:I10)-M5</f>
        <v>6.0092624999997497</v>
      </c>
      <c r="N6" s="2"/>
      <c r="O6" s="13" t="s">
        <v>19</v>
      </c>
      <c r="P6" s="2">
        <v>3</v>
      </c>
      <c r="Q6" s="1">
        <f>M10</f>
        <v>5.7745833333228802E-2</v>
      </c>
      <c r="R6" s="1">
        <f>Q6/P6</f>
        <v>1.9248611111076269E-2</v>
      </c>
      <c r="T6" s="11"/>
      <c r="AB6" s="8" t="s">
        <v>84</v>
      </c>
      <c r="AC6" s="43">
        <f>E18/12</f>
        <v>5.439166666666666</v>
      </c>
      <c r="AD6" s="8" t="s">
        <v>71</v>
      </c>
      <c r="AF6" s="8" t="s">
        <v>84</v>
      </c>
      <c r="AG6" s="43">
        <f>E18/12</f>
        <v>5.439166666666666</v>
      </c>
      <c r="AH6" s="8" t="s">
        <v>71</v>
      </c>
    </row>
    <row r="7" spans="3:34" x14ac:dyDescent="0.25">
      <c r="C7" s="4" t="s">
        <v>20</v>
      </c>
      <c r="D7" s="4">
        <v>4.7300000000000004</v>
      </c>
      <c r="E7" s="4">
        <v>4.8</v>
      </c>
      <c r="F7" s="4">
        <v>4.76</v>
      </c>
      <c r="G7" s="4">
        <v>4.7699999999999996</v>
      </c>
      <c r="H7" s="4">
        <v>5.6</v>
      </c>
      <c r="I7" s="5">
        <v>5.55</v>
      </c>
      <c r="J7" s="6">
        <f>SUM(D7:I7)</f>
        <v>30.210000000000004</v>
      </c>
      <c r="K7" s="7">
        <v>7</v>
      </c>
      <c r="L7" s="7" t="s">
        <v>21</v>
      </c>
      <c r="M7" s="7">
        <f>(SUMSQ(D14:E17)/3)-M5</f>
        <v>2.5409958333331133</v>
      </c>
      <c r="O7" s="13" t="s">
        <v>22</v>
      </c>
      <c r="P7" s="2">
        <v>1</v>
      </c>
      <c r="Q7" s="1">
        <f>M11</f>
        <v>2.4640041666665411</v>
      </c>
      <c r="R7" s="1">
        <f>Q7/P7</f>
        <v>2.4640041666665411</v>
      </c>
      <c r="S7" s="1">
        <f>R7/R8</f>
        <v>384.0837843686906</v>
      </c>
      <c r="T7" s="14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8" t="s">
        <v>67</v>
      </c>
      <c r="AC7" s="43">
        <f>Y8*Z8</f>
        <v>0.2339187009612605</v>
      </c>
      <c r="AD7" s="8"/>
      <c r="AF7" s="8" t="s">
        <v>75</v>
      </c>
      <c r="AG7" s="43">
        <f>X8*Z8</f>
        <v>0.12743182784775395</v>
      </c>
      <c r="AH7" s="8"/>
    </row>
    <row r="8" spans="3:34" x14ac:dyDescent="0.25">
      <c r="C8" s="4" t="s">
        <v>23</v>
      </c>
      <c r="D8" s="4">
        <v>4.5</v>
      </c>
      <c r="E8" s="4">
        <v>5.12</v>
      </c>
      <c r="F8" s="4">
        <v>4.8</v>
      </c>
      <c r="G8" s="4">
        <v>4.6500000000000004</v>
      </c>
      <c r="H8" s="4">
        <v>5.99</v>
      </c>
      <c r="I8" s="5">
        <v>5.77</v>
      </c>
      <c r="J8" s="6">
        <f t="shared" ref="J8:J10" si="0">SUM(D8:I8)</f>
        <v>30.830000000000002</v>
      </c>
      <c r="K8" s="7">
        <v>8</v>
      </c>
      <c r="L8" s="7" t="s">
        <v>24</v>
      </c>
      <c r="M8" s="7">
        <f>(SUMSQ(H14:J17)/2)-M5</f>
        <v>2.7445124999998143</v>
      </c>
      <c r="O8" s="15" t="s">
        <v>25</v>
      </c>
      <c r="P8" s="9">
        <v>3</v>
      </c>
      <c r="Q8" s="8">
        <f>M13</f>
        <v>1.9245833333343398E-2</v>
      </c>
      <c r="R8" s="8">
        <f>Q8/P8</f>
        <v>6.4152777777811325E-3</v>
      </c>
      <c r="S8" s="8"/>
      <c r="T8" s="16"/>
      <c r="U8" s="8"/>
      <c r="V8" s="8"/>
      <c r="X8" s="1">
        <v>3.1819999999999999</v>
      </c>
      <c r="Y8" s="1">
        <v>5.8410000000000002</v>
      </c>
      <c r="Z8" s="1">
        <f>SQRT(R8/4)</f>
        <v>4.0047714597031416E-2</v>
      </c>
      <c r="AC8" s="41"/>
      <c r="AG8" s="41"/>
    </row>
    <row r="9" spans="3:34" x14ac:dyDescent="0.25">
      <c r="C9" s="4" t="s">
        <v>26</v>
      </c>
      <c r="D9" s="4">
        <v>4.55</v>
      </c>
      <c r="E9" s="4">
        <v>4.9800000000000004</v>
      </c>
      <c r="F9" s="4">
        <v>4.88</v>
      </c>
      <c r="G9" s="4">
        <v>4.8</v>
      </c>
      <c r="H9" s="4">
        <v>6</v>
      </c>
      <c r="I9" s="5">
        <v>5.64</v>
      </c>
      <c r="J9" s="6">
        <f t="shared" si="0"/>
        <v>30.85</v>
      </c>
      <c r="K9" s="7">
        <v>9</v>
      </c>
      <c r="L9" s="7" t="s">
        <v>27</v>
      </c>
      <c r="M9" s="7">
        <f>(SUMSQ(H21:I23)/4)-M5</f>
        <v>5.6833374999998796</v>
      </c>
      <c r="O9" s="1" t="s">
        <v>28</v>
      </c>
      <c r="P9" s="2"/>
      <c r="T9" s="14"/>
      <c r="AB9" s="3" t="s">
        <v>85</v>
      </c>
      <c r="AC9" s="42">
        <f>H18/8</f>
        <v>4.6687500000000002</v>
      </c>
      <c r="AD9" s="3" t="s">
        <v>69</v>
      </c>
      <c r="AF9" s="3" t="s">
        <v>85</v>
      </c>
      <c r="AG9" s="42">
        <f>H18/8</f>
        <v>4.6687500000000002</v>
      </c>
      <c r="AH9" s="3" t="s">
        <v>69</v>
      </c>
    </row>
    <row r="10" spans="3:34" x14ac:dyDescent="0.25">
      <c r="C10" s="4" t="s">
        <v>29</v>
      </c>
      <c r="D10" s="4">
        <v>4.5999999999999996</v>
      </c>
      <c r="E10" s="4">
        <v>4.9800000000000004</v>
      </c>
      <c r="F10" s="4">
        <v>4.88</v>
      </c>
      <c r="G10" s="4">
        <v>4.75</v>
      </c>
      <c r="H10" s="4">
        <v>5.76</v>
      </c>
      <c r="I10" s="5">
        <v>5.99</v>
      </c>
      <c r="J10" s="6">
        <f t="shared" si="0"/>
        <v>30.96</v>
      </c>
      <c r="K10" s="7">
        <v>10</v>
      </c>
      <c r="L10" s="7" t="s">
        <v>30</v>
      </c>
      <c r="M10" s="7">
        <f>(SUMSQ(J7:J10)/6)-M5</f>
        <v>5.7745833333228802E-2</v>
      </c>
      <c r="O10" s="13" t="s">
        <v>31</v>
      </c>
      <c r="P10" s="2">
        <v>2</v>
      </c>
      <c r="Q10" s="1">
        <f>M12</f>
        <v>2.4875999999998157</v>
      </c>
      <c r="R10" s="1">
        <f t="shared" ref="R10:R13" si="1">Q10/P10</f>
        <v>1.2437999999999079</v>
      </c>
      <c r="S10" s="1">
        <f>R10/R11</f>
        <v>37.470125522990386</v>
      </c>
      <c r="T10" s="14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86</v>
      </c>
      <c r="AC10" s="41">
        <f>I18/8</f>
        <v>5.4037499999999996</v>
      </c>
      <c r="AD10" s="1" t="s">
        <v>71</v>
      </c>
      <c r="AF10" s="1" t="s">
        <v>86</v>
      </c>
      <c r="AG10" s="41">
        <f>I18/8</f>
        <v>5.4037499999999996</v>
      </c>
      <c r="AH10" s="1" t="s">
        <v>74</v>
      </c>
    </row>
    <row r="11" spans="3:34" x14ac:dyDescent="0.25">
      <c r="C11" s="7"/>
      <c r="D11" s="7"/>
      <c r="E11" s="7"/>
      <c r="F11" s="7"/>
      <c r="G11" s="7"/>
      <c r="H11" s="7"/>
      <c r="I11" s="7"/>
      <c r="J11" s="17">
        <f>SUM(J7:J10)</f>
        <v>122.85000000000002</v>
      </c>
      <c r="K11" s="7">
        <v>11</v>
      </c>
      <c r="L11" s="7" t="s">
        <v>32</v>
      </c>
      <c r="M11" s="7">
        <f>(SUMSQ(D18:E18)/12)-M5</f>
        <v>2.4640041666665411</v>
      </c>
      <c r="O11" s="13" t="s">
        <v>33</v>
      </c>
      <c r="P11" s="2">
        <v>6</v>
      </c>
      <c r="Q11" s="1">
        <f>M14</f>
        <v>0.19916666666676974</v>
      </c>
      <c r="R11" s="1">
        <f t="shared" si="1"/>
        <v>3.3194444444461624E-2</v>
      </c>
      <c r="T11" s="14"/>
      <c r="X11" s="1">
        <v>4.3029999999999999</v>
      </c>
      <c r="Y11" s="1">
        <v>9.9250000000000007</v>
      </c>
      <c r="Z11" s="1">
        <f>SQRT(R11/4)</f>
        <v>9.1096712954504597E-2</v>
      </c>
      <c r="AB11" s="8" t="s">
        <v>87</v>
      </c>
      <c r="AC11" s="43">
        <f>J18/8</f>
        <v>5.2837499999999995</v>
      </c>
      <c r="AD11" s="8" t="s">
        <v>71</v>
      </c>
      <c r="AF11" s="8" t="s">
        <v>87</v>
      </c>
      <c r="AG11" s="43">
        <f>J18/8</f>
        <v>5.2837499999999995</v>
      </c>
      <c r="AH11" s="8" t="s">
        <v>71</v>
      </c>
    </row>
    <row r="12" spans="3:34" x14ac:dyDescent="0.25">
      <c r="C12" s="75" t="s">
        <v>34</v>
      </c>
      <c r="D12" s="75"/>
      <c r="E12" s="75"/>
      <c r="F12" s="7"/>
      <c r="G12" s="76" t="s">
        <v>35</v>
      </c>
      <c r="H12" s="78"/>
      <c r="I12" s="78"/>
      <c r="J12" s="79"/>
      <c r="K12" s="7">
        <v>12</v>
      </c>
      <c r="L12" s="7" t="s">
        <v>36</v>
      </c>
      <c r="M12" s="7">
        <f>(SUMSQ(J21:J23)/8)-M5</f>
        <v>2.4875999999998157</v>
      </c>
      <c r="O12" s="13" t="s">
        <v>37</v>
      </c>
      <c r="P12" s="2">
        <v>2</v>
      </c>
      <c r="Q12" s="1">
        <f>M15</f>
        <v>0.73173333333352275</v>
      </c>
      <c r="R12" s="1">
        <f t="shared" si="1"/>
        <v>0.36586666666676138</v>
      </c>
      <c r="S12" s="1">
        <f>R12/R13</f>
        <v>73.516409913150596</v>
      </c>
      <c r="T12" s="14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23" t="s">
        <v>72</v>
      </c>
      <c r="AC12" s="44">
        <f>Y11*Z11</f>
        <v>0.90413487607345822</v>
      </c>
      <c r="AD12" s="23"/>
      <c r="AF12" s="23" t="s">
        <v>73</v>
      </c>
      <c r="AG12" s="44">
        <f>X11*Z11</f>
        <v>0.39198915584323329</v>
      </c>
      <c r="AH12" s="23"/>
    </row>
    <row r="13" spans="3:34" x14ac:dyDescent="0.25">
      <c r="C13" s="18" t="s">
        <v>38</v>
      </c>
      <c r="D13" s="4" t="s">
        <v>39</v>
      </c>
      <c r="E13" s="19" t="s">
        <v>40</v>
      </c>
      <c r="F13" s="7"/>
      <c r="G13" s="4" t="s">
        <v>41</v>
      </c>
      <c r="H13" s="4" t="s">
        <v>42</v>
      </c>
      <c r="I13" s="4" t="s">
        <v>43</v>
      </c>
      <c r="J13" s="4" t="s">
        <v>44</v>
      </c>
      <c r="K13" s="7">
        <v>13</v>
      </c>
      <c r="L13" s="7" t="s">
        <v>45</v>
      </c>
      <c r="M13" s="7">
        <f>M7-M10-M11</f>
        <v>1.9245833333343398E-2</v>
      </c>
      <c r="O13" s="15" t="s">
        <v>46</v>
      </c>
      <c r="P13" s="9">
        <v>10</v>
      </c>
      <c r="Q13" s="20">
        <f>M16</f>
        <v>4.9766666666528181E-2</v>
      </c>
      <c r="R13" s="8">
        <f t="shared" si="1"/>
        <v>4.9766666666528183E-3</v>
      </c>
      <c r="S13" s="8"/>
      <c r="T13" s="21"/>
      <c r="U13" s="8"/>
      <c r="V13" s="8"/>
      <c r="X13" s="1">
        <v>2.2280000000000002</v>
      </c>
      <c r="Y13" s="1">
        <v>3.169</v>
      </c>
      <c r="Z13" s="1">
        <f>SQRT(R13/5)</f>
        <v>3.1548903837226479E-2</v>
      </c>
    </row>
    <row r="14" spans="3:34" x14ac:dyDescent="0.25">
      <c r="C14" s="18" t="s">
        <v>20</v>
      </c>
      <c r="D14" s="4">
        <f>SUM(D7:F7)</f>
        <v>14.290000000000001</v>
      </c>
      <c r="E14" s="19">
        <f>SUM(G7:I7)</f>
        <v>15.919999999999998</v>
      </c>
      <c r="F14" s="7"/>
      <c r="G14" s="4" t="s">
        <v>20</v>
      </c>
      <c r="H14" s="4">
        <f>D7+G7</f>
        <v>9.5</v>
      </c>
      <c r="I14" s="4">
        <f>E7+H7</f>
        <v>10.399999999999999</v>
      </c>
      <c r="J14" s="4">
        <f>F7+I7</f>
        <v>10.309999999999999</v>
      </c>
      <c r="K14" s="7">
        <v>14</v>
      </c>
      <c r="L14" s="7" t="s">
        <v>47</v>
      </c>
      <c r="M14" s="7">
        <f>M8-M10-M12</f>
        <v>0.19916666666676974</v>
      </c>
      <c r="O14" s="22" t="s">
        <v>6</v>
      </c>
      <c r="P14" s="23"/>
      <c r="Q14" s="23">
        <f>SUM(Q6:Q13)</f>
        <v>6.0092624999997497</v>
      </c>
      <c r="R14" s="23"/>
      <c r="S14" s="23"/>
      <c r="T14" s="23"/>
      <c r="U14" s="23"/>
      <c r="V14" s="23"/>
      <c r="AB14" s="36" t="s">
        <v>54</v>
      </c>
      <c r="AF14" s="36" t="s">
        <v>54</v>
      </c>
    </row>
    <row r="15" spans="3:34" x14ac:dyDescent="0.25">
      <c r="C15" s="18" t="s">
        <v>23</v>
      </c>
      <c r="D15" s="4">
        <f>SUM(D8:F8)</f>
        <v>14.420000000000002</v>
      </c>
      <c r="E15" s="19">
        <f t="shared" ref="E15:E17" si="2">SUM(G8:I8)</f>
        <v>16.41</v>
      </c>
      <c r="F15" s="7"/>
      <c r="G15" s="4" t="s">
        <v>23</v>
      </c>
      <c r="H15" s="4">
        <f t="shared" ref="H15:J17" si="3">D8+G8</f>
        <v>9.15</v>
      </c>
      <c r="I15" s="4">
        <f t="shared" si="3"/>
        <v>11.11</v>
      </c>
      <c r="J15" s="4">
        <f t="shared" si="3"/>
        <v>10.57</v>
      </c>
      <c r="K15" s="7">
        <v>15</v>
      </c>
      <c r="L15" s="7" t="s">
        <v>48</v>
      </c>
      <c r="M15" s="7">
        <f>M9-M11-M12</f>
        <v>0.73173333333352275</v>
      </c>
      <c r="O15" s="13" t="s">
        <v>49</v>
      </c>
      <c r="Q15" s="1">
        <f>M5</f>
        <v>628.83843750000017</v>
      </c>
      <c r="AB15" s="23" t="s">
        <v>68</v>
      </c>
      <c r="AC15" s="23"/>
      <c r="AD15" s="23"/>
      <c r="AF15" s="23" t="s">
        <v>68</v>
      </c>
      <c r="AG15" s="23"/>
      <c r="AH15" s="23"/>
    </row>
    <row r="16" spans="3:34" x14ac:dyDescent="0.25">
      <c r="C16" s="18" t="s">
        <v>26</v>
      </c>
      <c r="D16" s="4">
        <f>SUM(D9:F9)</f>
        <v>14.41</v>
      </c>
      <c r="E16" s="19">
        <f t="shared" si="2"/>
        <v>16.440000000000001</v>
      </c>
      <c r="F16" s="7"/>
      <c r="G16" s="4" t="s">
        <v>26</v>
      </c>
      <c r="H16" s="4">
        <f t="shared" si="3"/>
        <v>9.35</v>
      </c>
      <c r="I16" s="4">
        <f t="shared" si="3"/>
        <v>10.98</v>
      </c>
      <c r="J16" s="4">
        <f t="shared" si="3"/>
        <v>10.52</v>
      </c>
      <c r="K16" s="7">
        <v>16</v>
      </c>
      <c r="L16" s="7" t="s">
        <v>50</v>
      </c>
      <c r="M16" s="12">
        <f>M6-M10-M11-M12-M13-M14-M15</f>
        <v>4.9766666666528181E-2</v>
      </c>
      <c r="O16" s="1" t="s">
        <v>51</v>
      </c>
      <c r="AB16" s="3" t="s">
        <v>76</v>
      </c>
      <c r="AC16" s="42">
        <f>H21/4</f>
        <v>4.5950000000000006</v>
      </c>
      <c r="AD16" s="1" t="s">
        <v>69</v>
      </c>
      <c r="AF16" s="3" t="s">
        <v>76</v>
      </c>
      <c r="AG16" s="42">
        <f>H21/4</f>
        <v>4.5950000000000006</v>
      </c>
      <c r="AH16" s="3" t="s">
        <v>69</v>
      </c>
    </row>
    <row r="17" spans="2:34" x14ac:dyDescent="0.25">
      <c r="C17" s="18" t="s">
        <v>29</v>
      </c>
      <c r="D17" s="4">
        <f>SUM(D10:F10)</f>
        <v>14.46</v>
      </c>
      <c r="E17" s="19">
        <f t="shared" si="2"/>
        <v>16.5</v>
      </c>
      <c r="F17" s="7"/>
      <c r="G17" s="4" t="s">
        <v>29</v>
      </c>
      <c r="H17" s="4">
        <f t="shared" si="3"/>
        <v>9.35</v>
      </c>
      <c r="I17" s="4">
        <f t="shared" si="3"/>
        <v>10.74</v>
      </c>
      <c r="J17" s="4">
        <f t="shared" si="3"/>
        <v>10.870000000000001</v>
      </c>
      <c r="K17" s="7"/>
      <c r="L17" s="7"/>
      <c r="M17" s="7"/>
      <c r="O17" s="1" t="s">
        <v>52</v>
      </c>
      <c r="AB17" s="1" t="s">
        <v>77</v>
      </c>
      <c r="AC17" s="41">
        <f>H22/4</f>
        <v>4.9700000000000006</v>
      </c>
      <c r="AD17" s="1" t="s">
        <v>74</v>
      </c>
      <c r="AF17" s="1" t="s">
        <v>77</v>
      </c>
      <c r="AG17" s="41">
        <f>H22/4</f>
        <v>4.9700000000000006</v>
      </c>
      <c r="AH17" s="1" t="s">
        <v>74</v>
      </c>
    </row>
    <row r="18" spans="2:34" ht="16.5" thickBot="1" x14ac:dyDescent="0.3">
      <c r="C18" s="24"/>
      <c r="D18" s="25">
        <f>SUM(D14:D17)</f>
        <v>57.580000000000005</v>
      </c>
      <c r="E18" s="26">
        <f>SUM(E14:E17)</f>
        <v>65.27</v>
      </c>
      <c r="F18" s="7"/>
      <c r="G18" s="7"/>
      <c r="H18" s="7">
        <f>SUM(H14:H17)</f>
        <v>37.35</v>
      </c>
      <c r="I18" s="7">
        <f t="shared" ref="I18:J18" si="4">SUM(I14:I17)</f>
        <v>43.23</v>
      </c>
      <c r="J18" s="7">
        <f t="shared" si="4"/>
        <v>42.269999999999996</v>
      </c>
      <c r="K18" s="7"/>
      <c r="L18" s="7"/>
      <c r="M18" s="7"/>
      <c r="O18" s="1" t="s">
        <v>53</v>
      </c>
      <c r="AB18" s="1" t="s">
        <v>78</v>
      </c>
      <c r="AC18" s="41">
        <f>H23/4</f>
        <v>4.8299999999999992</v>
      </c>
      <c r="AD18" s="1" t="s">
        <v>71</v>
      </c>
      <c r="AF18" s="1" t="s">
        <v>78</v>
      </c>
      <c r="AG18" s="41">
        <f>H23/4</f>
        <v>4.8299999999999992</v>
      </c>
      <c r="AH18" s="1" t="s">
        <v>71</v>
      </c>
    </row>
    <row r="19" spans="2:34" ht="16.5" thickBot="1" x14ac:dyDescent="0.3">
      <c r="C19" s="7"/>
      <c r="D19" s="7"/>
      <c r="E19" s="7"/>
      <c r="F19" s="7"/>
      <c r="G19" s="7"/>
      <c r="H19" s="27" t="s">
        <v>54</v>
      </c>
      <c r="I19" s="7"/>
      <c r="J19" s="7"/>
      <c r="K19" s="7"/>
      <c r="L19" s="7"/>
      <c r="M19" s="7"/>
      <c r="O19" s="1" t="s">
        <v>55</v>
      </c>
      <c r="AB19" s="1" t="s">
        <v>79</v>
      </c>
      <c r="AC19" s="41">
        <f>I21/4</f>
        <v>4.7424999999999997</v>
      </c>
      <c r="AD19" s="1" t="s">
        <v>82</v>
      </c>
      <c r="AF19" s="1" t="s">
        <v>79</v>
      </c>
      <c r="AG19" s="41">
        <f>I21/4</f>
        <v>4.7424999999999997</v>
      </c>
      <c r="AH19" s="1" t="s">
        <v>82</v>
      </c>
    </row>
    <row r="20" spans="2:34" x14ac:dyDescent="0.25">
      <c r="C20" s="7"/>
      <c r="D20" s="7"/>
      <c r="E20" s="7"/>
      <c r="F20" s="7"/>
      <c r="G20" s="28"/>
      <c r="H20" s="29" t="s">
        <v>4</v>
      </c>
      <c r="I20" s="29" t="s">
        <v>5</v>
      </c>
      <c r="J20" s="30"/>
      <c r="K20" s="7"/>
      <c r="L20" s="7"/>
      <c r="M20" s="7"/>
      <c r="O20" s="1" t="s">
        <v>56</v>
      </c>
      <c r="P20" s="1" t="s">
        <v>57</v>
      </c>
      <c r="AB20" s="1" t="s">
        <v>80</v>
      </c>
      <c r="AC20" s="41">
        <f>I22/4</f>
        <v>5.8375000000000004</v>
      </c>
      <c r="AD20" s="1" t="s">
        <v>70</v>
      </c>
      <c r="AF20" s="1" t="s">
        <v>80</v>
      </c>
      <c r="AG20" s="41">
        <f>I22/4</f>
        <v>5.8375000000000004</v>
      </c>
      <c r="AH20" s="1" t="s">
        <v>70</v>
      </c>
    </row>
    <row r="21" spans="2:34" x14ac:dyDescent="0.25">
      <c r="C21" s="7"/>
      <c r="D21" s="7"/>
      <c r="E21" s="7"/>
      <c r="F21" s="7"/>
      <c r="G21" s="18" t="s">
        <v>15</v>
      </c>
      <c r="H21" s="4">
        <f>SUM(D7:D10)</f>
        <v>18.380000000000003</v>
      </c>
      <c r="I21" s="4">
        <f>SUM(G7:G10)</f>
        <v>18.97</v>
      </c>
      <c r="J21" s="19">
        <f>SUM(H21:I21)</f>
        <v>37.35</v>
      </c>
      <c r="K21" s="7"/>
      <c r="L21" s="7"/>
      <c r="M21" s="7"/>
      <c r="O21" s="1" t="s">
        <v>58</v>
      </c>
      <c r="P21" s="1" t="s">
        <v>59</v>
      </c>
      <c r="AB21" s="1" t="s">
        <v>81</v>
      </c>
      <c r="AC21" s="41">
        <f>I23/4</f>
        <v>5.7375000000000007</v>
      </c>
      <c r="AD21" s="1" t="s">
        <v>82</v>
      </c>
      <c r="AF21" s="8" t="s">
        <v>81</v>
      </c>
      <c r="AG21" s="43">
        <f>I23/4</f>
        <v>5.7375000000000007</v>
      </c>
      <c r="AH21" s="8" t="s">
        <v>82</v>
      </c>
    </row>
    <row r="22" spans="2:34" x14ac:dyDescent="0.25">
      <c r="C22" s="7"/>
      <c r="D22" s="7"/>
      <c r="E22" s="7"/>
      <c r="F22" s="7"/>
      <c r="G22" s="18" t="s">
        <v>16</v>
      </c>
      <c r="H22" s="4">
        <f>SUM(E7:E10)</f>
        <v>19.880000000000003</v>
      </c>
      <c r="I22" s="4">
        <f>SUM(H7:H10)</f>
        <v>23.35</v>
      </c>
      <c r="J22" s="19">
        <f t="shared" ref="J22:J23" si="5">SUM(H22:I22)</f>
        <v>43.230000000000004</v>
      </c>
      <c r="K22" s="7"/>
      <c r="L22" s="7"/>
      <c r="M22" s="7"/>
      <c r="O22" s="1" t="s">
        <v>60</v>
      </c>
      <c r="P22" s="1" t="s">
        <v>61</v>
      </c>
      <c r="AB22" s="23" t="s">
        <v>72</v>
      </c>
      <c r="AC22" s="44">
        <f>Y13*Z13</f>
        <v>9.9978476260170715E-2</v>
      </c>
      <c r="AD22" s="23"/>
      <c r="AF22" s="23" t="s">
        <v>73</v>
      </c>
      <c r="AG22" s="44">
        <f>X13*Z13</f>
        <v>7.0290957749340605E-2</v>
      </c>
      <c r="AH22" s="23"/>
    </row>
    <row r="23" spans="2:34" ht="16.5" thickBot="1" x14ac:dyDescent="0.3">
      <c r="C23" s="7"/>
      <c r="D23" s="7"/>
      <c r="E23" s="7"/>
      <c r="F23" s="7"/>
      <c r="G23" s="24" t="s">
        <v>17</v>
      </c>
      <c r="H23" s="25">
        <f>SUM(F7:F10)</f>
        <v>19.319999999999997</v>
      </c>
      <c r="I23" s="25">
        <f>SUM(I7:I10)</f>
        <v>22.950000000000003</v>
      </c>
      <c r="J23" s="26">
        <f t="shared" si="5"/>
        <v>42.269999999999996</v>
      </c>
      <c r="K23" s="7"/>
      <c r="L23" s="7"/>
      <c r="M23" s="7"/>
    </row>
    <row r="24" spans="2:34" x14ac:dyDescent="0.25">
      <c r="B24" s="72"/>
      <c r="C24" s="72"/>
      <c r="D24" s="72"/>
      <c r="E24" s="72"/>
      <c r="F24" s="72"/>
    </row>
    <row r="25" spans="2:34" x14ac:dyDescent="0.25">
      <c r="B25" s="72"/>
      <c r="C25" s="72"/>
      <c r="D25" s="72"/>
      <c r="E25" s="72"/>
      <c r="F25" s="72"/>
      <c r="G25" s="72"/>
      <c r="H25" s="72"/>
      <c r="I25" s="72"/>
    </row>
    <row r="26" spans="2:34" x14ac:dyDescent="0.25">
      <c r="B26" s="72"/>
      <c r="C26" s="72"/>
      <c r="D26" s="72"/>
      <c r="E26" s="72"/>
      <c r="F26" s="72"/>
      <c r="I26" s="72"/>
    </row>
    <row r="42" spans="6:13" x14ac:dyDescent="0.25">
      <c r="F42" s="31"/>
      <c r="G42" s="32"/>
      <c r="H42" s="31"/>
      <c r="I42" s="31"/>
      <c r="J42" s="31"/>
      <c r="K42" s="31"/>
      <c r="L42" s="33"/>
      <c r="M42" s="7"/>
    </row>
    <row r="43" spans="6:13" x14ac:dyDescent="0.25">
      <c r="F43" s="31"/>
      <c r="G43" s="32"/>
      <c r="H43" s="7"/>
      <c r="I43" s="7"/>
      <c r="J43" s="7"/>
      <c r="K43" s="7"/>
      <c r="L43" s="7"/>
      <c r="M43" s="7"/>
    </row>
    <row r="44" spans="6:13" x14ac:dyDescent="0.25">
      <c r="F44" s="31"/>
      <c r="G44" s="7"/>
      <c r="H44" s="7"/>
      <c r="I44" s="7"/>
      <c r="J44" s="7"/>
      <c r="K44" s="7"/>
      <c r="L44" s="7"/>
    </row>
    <row r="45" spans="6:13" x14ac:dyDescent="0.25">
      <c r="F45" s="31"/>
      <c r="G45" s="7"/>
      <c r="H45" s="7"/>
      <c r="I45" s="7"/>
      <c r="J45" s="7"/>
      <c r="K45" s="7"/>
      <c r="L45" s="7"/>
    </row>
    <row r="46" spans="6:13" x14ac:dyDescent="0.25">
      <c r="F46" s="31"/>
      <c r="G46" s="7"/>
      <c r="H46" s="7"/>
      <c r="I46" s="7"/>
      <c r="J46" s="7"/>
      <c r="K46" s="7"/>
      <c r="L46" s="7"/>
    </row>
    <row r="47" spans="6:13" x14ac:dyDescent="0.25">
      <c r="F47" s="7"/>
      <c r="G47" s="2"/>
      <c r="H47" s="34"/>
      <c r="I47" s="34"/>
      <c r="J47" s="34"/>
      <c r="K47" s="34"/>
      <c r="L47" s="34"/>
    </row>
    <row r="48" spans="6:13" x14ac:dyDescent="0.25">
      <c r="F48" s="31"/>
      <c r="G48" s="7"/>
      <c r="H48" s="2"/>
      <c r="I48" s="2"/>
      <c r="J48" s="2"/>
      <c r="K48" s="2"/>
    </row>
    <row r="49" spans="6:11" x14ac:dyDescent="0.25">
      <c r="F49" s="31"/>
      <c r="G49" s="7"/>
      <c r="H49" s="2"/>
      <c r="I49" s="2"/>
      <c r="J49" s="2"/>
      <c r="K49" s="2"/>
    </row>
    <row r="50" spans="6:11" x14ac:dyDescent="0.25">
      <c r="F50" s="31"/>
      <c r="G50" s="7"/>
      <c r="H50" s="2"/>
      <c r="I50" s="2"/>
      <c r="J50" s="2"/>
      <c r="K50" s="2"/>
    </row>
    <row r="51" spans="6:11" x14ac:dyDescent="0.25">
      <c r="F51" s="2"/>
    </row>
    <row r="52" spans="6:11" x14ac:dyDescent="0.25">
      <c r="F52" s="35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4:C6"/>
    <mergeCell ref="D4:F5"/>
    <mergeCell ref="G4:I5"/>
    <mergeCell ref="J4:J6"/>
    <mergeCell ref="C12:E12"/>
    <mergeCell ref="G12:J12"/>
    <mergeCell ref="X3:Y3"/>
    <mergeCell ref="AB3:AC3"/>
    <mergeCell ref="D1:G1"/>
    <mergeCell ref="D2:G2"/>
    <mergeCell ref="U3:V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F7BED-9C83-46DE-AB48-6A5F6B742227}">
  <dimension ref="B1:AH52"/>
  <sheetViews>
    <sheetView topLeftCell="V10" workbookViewId="0">
      <selection activeCell="AC28" sqref="AC28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9" width="9.140625" style="1"/>
    <col min="20" max="20" width="3.28515625" style="1" customWidth="1"/>
    <col min="21" max="22" width="9.140625" style="1"/>
    <col min="23" max="23" width="4.7109375" style="1" customWidth="1"/>
    <col min="24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x14ac:dyDescent="0.25">
      <c r="D1" s="72" t="s">
        <v>0</v>
      </c>
      <c r="E1" s="72"/>
      <c r="F1" s="72"/>
      <c r="G1" s="72"/>
    </row>
    <row r="2" spans="3:34" x14ac:dyDescent="0.25">
      <c r="D2" s="73" t="s">
        <v>63</v>
      </c>
      <c r="E2" s="73"/>
      <c r="F2" s="73"/>
      <c r="G2" s="73"/>
      <c r="O2" s="1" t="s">
        <v>1</v>
      </c>
    </row>
    <row r="3" spans="3:34" x14ac:dyDescent="0.25">
      <c r="O3" s="3"/>
      <c r="P3" s="3"/>
      <c r="Q3" s="3"/>
      <c r="R3" s="3"/>
      <c r="S3" s="3"/>
      <c r="T3" s="3"/>
      <c r="U3" s="71" t="s">
        <v>2</v>
      </c>
      <c r="V3" s="71"/>
      <c r="X3" s="71" t="s">
        <v>66</v>
      </c>
      <c r="Y3" s="71"/>
      <c r="AB3" s="72"/>
      <c r="AC3" s="72"/>
    </row>
    <row r="4" spans="3:34" ht="31.5" customHeight="1" x14ac:dyDescent="0.25">
      <c r="C4" s="74" t="s">
        <v>3</v>
      </c>
      <c r="D4" s="75" t="s">
        <v>4</v>
      </c>
      <c r="E4" s="75"/>
      <c r="F4" s="75"/>
      <c r="G4" s="75" t="s">
        <v>5</v>
      </c>
      <c r="H4" s="75"/>
      <c r="I4" s="76"/>
      <c r="J4" s="77" t="s">
        <v>6</v>
      </c>
      <c r="K4" s="7">
        <v>4</v>
      </c>
      <c r="L4" s="7" t="s">
        <v>7</v>
      </c>
      <c r="M4" s="7">
        <f>SUMSQ(D7:I10)</f>
        <v>5623.0401999999995</v>
      </c>
      <c r="O4" s="8" t="s">
        <v>8</v>
      </c>
      <c r="P4" s="9" t="s">
        <v>9</v>
      </c>
      <c r="Q4" s="8" t="s">
        <v>10</v>
      </c>
      <c r="R4" s="8" t="s">
        <v>11</v>
      </c>
      <c r="S4" s="8" t="s">
        <v>12</v>
      </c>
      <c r="T4" s="8"/>
      <c r="U4" s="10">
        <v>0.05</v>
      </c>
      <c r="V4" s="10">
        <v>0.01</v>
      </c>
      <c r="X4" s="37">
        <v>0.05</v>
      </c>
      <c r="Y4" s="37">
        <v>0.01</v>
      </c>
      <c r="Z4" s="38" t="s">
        <v>65</v>
      </c>
      <c r="AA4" s="38"/>
      <c r="AB4" s="40" t="s">
        <v>68</v>
      </c>
      <c r="AC4" s="40"/>
      <c r="AD4" s="23"/>
      <c r="AF4" s="40" t="s">
        <v>68</v>
      </c>
      <c r="AG4" s="40"/>
      <c r="AH4" s="23"/>
    </row>
    <row r="5" spans="3:34" x14ac:dyDescent="0.25">
      <c r="C5" s="74"/>
      <c r="D5" s="75"/>
      <c r="E5" s="75"/>
      <c r="F5" s="75"/>
      <c r="G5" s="75"/>
      <c r="H5" s="75"/>
      <c r="I5" s="76"/>
      <c r="J5" s="77"/>
      <c r="K5" s="7">
        <v>5</v>
      </c>
      <c r="L5" s="7" t="s">
        <v>13</v>
      </c>
      <c r="M5" s="7">
        <f>(J11^2)/24</f>
        <v>5443.8888166666675</v>
      </c>
      <c r="O5" s="1" t="s">
        <v>14</v>
      </c>
      <c r="T5" s="11"/>
      <c r="AB5" s="3" t="s">
        <v>83</v>
      </c>
      <c r="AC5" s="42">
        <f>D18/12</f>
        <v>12.696666666666667</v>
      </c>
      <c r="AD5" s="3" t="s">
        <v>69</v>
      </c>
      <c r="AF5" s="3" t="s">
        <v>83</v>
      </c>
      <c r="AG5" s="42">
        <f>D18/12</f>
        <v>12.696666666666667</v>
      </c>
      <c r="AH5" s="3" t="s">
        <v>69</v>
      </c>
    </row>
    <row r="6" spans="3:34" x14ac:dyDescent="0.25">
      <c r="C6" s="74"/>
      <c r="D6" s="4" t="s">
        <v>15</v>
      </c>
      <c r="E6" s="4" t="s">
        <v>16</v>
      </c>
      <c r="F6" s="4" t="s">
        <v>17</v>
      </c>
      <c r="G6" s="4" t="s">
        <v>15</v>
      </c>
      <c r="H6" s="4" t="s">
        <v>16</v>
      </c>
      <c r="I6" s="5" t="s">
        <v>17</v>
      </c>
      <c r="J6" s="77"/>
      <c r="K6" s="7">
        <v>6</v>
      </c>
      <c r="L6" s="7" t="s">
        <v>18</v>
      </c>
      <c r="M6" s="12">
        <f>SUMSQ(D7:I10)-M5</f>
        <v>179.15138333333198</v>
      </c>
      <c r="N6" s="2"/>
      <c r="O6" s="13" t="s">
        <v>19</v>
      </c>
      <c r="P6" s="2">
        <v>3</v>
      </c>
      <c r="Q6" s="1">
        <f>M10</f>
        <v>3.7683333332097391E-2</v>
      </c>
      <c r="R6" s="1">
        <f>Q6/P6</f>
        <v>1.256111111069913E-2</v>
      </c>
      <c r="T6" s="11"/>
      <c r="AB6" s="8" t="s">
        <v>84</v>
      </c>
      <c r="AC6" s="43">
        <f>E18/12</f>
        <v>17.424999999999997</v>
      </c>
      <c r="AD6" s="8" t="s">
        <v>71</v>
      </c>
      <c r="AF6" s="8" t="s">
        <v>84</v>
      </c>
      <c r="AG6" s="43">
        <f>E18/12</f>
        <v>17.424999999999997</v>
      </c>
      <c r="AH6" s="8" t="s">
        <v>71</v>
      </c>
    </row>
    <row r="7" spans="3:34" x14ac:dyDescent="0.25">
      <c r="C7" s="4" t="s">
        <v>20</v>
      </c>
      <c r="D7" s="4">
        <v>11.6</v>
      </c>
      <c r="E7" s="4">
        <v>14.72</v>
      </c>
      <c r="F7" s="4">
        <v>11.72</v>
      </c>
      <c r="G7" s="4">
        <v>15.7</v>
      </c>
      <c r="H7" s="4">
        <v>18.600000000000001</v>
      </c>
      <c r="I7" s="5">
        <v>17.75</v>
      </c>
      <c r="J7" s="6">
        <f>SUM(D7:I7)</f>
        <v>90.09</v>
      </c>
      <c r="K7" s="7">
        <v>7</v>
      </c>
      <c r="L7" s="7" t="s">
        <v>21</v>
      </c>
      <c r="M7" s="7">
        <f>(SUMSQ(D14:E17)/3)-M5</f>
        <v>134.2921833333321</v>
      </c>
      <c r="O7" s="13" t="s">
        <v>22</v>
      </c>
      <c r="P7" s="2">
        <v>1</v>
      </c>
      <c r="Q7" s="1">
        <f>M11</f>
        <v>134.14281666666466</v>
      </c>
      <c r="R7" s="1">
        <f>Q7/P7</f>
        <v>134.14281666666466</v>
      </c>
      <c r="S7" s="1">
        <f>R7/R8</f>
        <v>3603.2990597767043</v>
      </c>
      <c r="T7" s="14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8" t="s">
        <v>67</v>
      </c>
      <c r="AC7" s="43">
        <f>Y8*Z8</f>
        <v>0.56349590847514841</v>
      </c>
      <c r="AD7" s="8"/>
      <c r="AF7" s="8" t="s">
        <v>75</v>
      </c>
      <c r="AG7" s="43">
        <f>X8*Z8</f>
        <v>0.30697551459817191</v>
      </c>
      <c r="AH7" s="8"/>
    </row>
    <row r="8" spans="3:34" x14ac:dyDescent="0.25">
      <c r="C8" s="4" t="s">
        <v>23</v>
      </c>
      <c r="D8" s="4">
        <v>11.65</v>
      </c>
      <c r="E8" s="4">
        <v>15</v>
      </c>
      <c r="F8" s="4">
        <v>11.65</v>
      </c>
      <c r="G8" s="4">
        <v>15.6</v>
      </c>
      <c r="H8" s="4">
        <v>18.7</v>
      </c>
      <c r="I8" s="5">
        <v>17.600000000000001</v>
      </c>
      <c r="J8" s="6">
        <f t="shared" ref="J8:J10" si="0">SUM(D8:I8)</f>
        <v>90.199999999999989</v>
      </c>
      <c r="K8" s="7">
        <v>8</v>
      </c>
      <c r="L8" s="7" t="s">
        <v>24</v>
      </c>
      <c r="M8" s="7">
        <f>(SUMSQ(H14:J17)/2)-M5</f>
        <v>37.787283333332198</v>
      </c>
      <c r="O8" s="15" t="s">
        <v>25</v>
      </c>
      <c r="P8" s="9">
        <v>3</v>
      </c>
      <c r="Q8" s="8">
        <f>M13</f>
        <v>0.11168333333534974</v>
      </c>
      <c r="R8" s="8">
        <f>Q8/P8</f>
        <v>3.7227777778449912E-2</v>
      </c>
      <c r="S8" s="8"/>
      <c r="T8" s="16"/>
      <c r="U8" s="8"/>
      <c r="V8" s="8"/>
      <c r="X8" s="1">
        <v>3.1819999999999999</v>
      </c>
      <c r="Y8" s="1">
        <v>5.8410000000000002</v>
      </c>
      <c r="Z8" s="1">
        <f>SQRT(R8/4)</f>
        <v>9.6472506159073518E-2</v>
      </c>
      <c r="AC8" s="41"/>
      <c r="AG8" s="41"/>
    </row>
    <row r="9" spans="3:34" x14ac:dyDescent="0.25">
      <c r="C9" s="4" t="s">
        <v>26</v>
      </c>
      <c r="D9" s="4">
        <v>11.7</v>
      </c>
      <c r="E9" s="4">
        <v>14.7</v>
      </c>
      <c r="F9" s="4">
        <v>11.7</v>
      </c>
      <c r="G9" s="4">
        <v>15.75</v>
      </c>
      <c r="H9" s="4">
        <v>18.649999999999999</v>
      </c>
      <c r="I9" s="5">
        <v>18.2</v>
      </c>
      <c r="J9" s="6">
        <f t="shared" si="0"/>
        <v>90.7</v>
      </c>
      <c r="K9" s="7">
        <v>9</v>
      </c>
      <c r="L9" s="7" t="s">
        <v>27</v>
      </c>
      <c r="M9" s="7">
        <f>(SUMSQ(H21:I23)/4)-M5</f>
        <v>178.76448333333155</v>
      </c>
      <c r="O9" s="1" t="s">
        <v>28</v>
      </c>
      <c r="P9" s="2"/>
      <c r="T9" s="14"/>
      <c r="AB9" s="3" t="s">
        <v>85</v>
      </c>
      <c r="AC9" s="42">
        <f>H18/8</f>
        <v>13.6775</v>
      </c>
      <c r="AD9" s="3" t="s">
        <v>69</v>
      </c>
      <c r="AF9" s="3" t="s">
        <v>85</v>
      </c>
      <c r="AG9" s="42">
        <f>H18/8</f>
        <v>13.6775</v>
      </c>
      <c r="AH9" s="3" t="s">
        <v>69</v>
      </c>
    </row>
    <row r="10" spans="3:34" x14ac:dyDescent="0.25">
      <c r="C10" s="4" t="s">
        <v>29</v>
      </c>
      <c r="D10" s="4">
        <v>11.72</v>
      </c>
      <c r="E10" s="4">
        <v>14.6</v>
      </c>
      <c r="F10" s="4">
        <v>11.6</v>
      </c>
      <c r="G10" s="4">
        <v>15.7</v>
      </c>
      <c r="H10" s="4">
        <v>18.7</v>
      </c>
      <c r="I10" s="5">
        <v>18.149999999999999</v>
      </c>
      <c r="J10" s="6">
        <f t="shared" si="0"/>
        <v>90.47</v>
      </c>
      <c r="K10" s="7">
        <v>10</v>
      </c>
      <c r="L10" s="7" t="s">
        <v>30</v>
      </c>
      <c r="M10" s="7">
        <f>(SUMSQ(J7:J10)/6)-M5</f>
        <v>3.7683333332097391E-2</v>
      </c>
      <c r="O10" s="13" t="s">
        <v>31</v>
      </c>
      <c r="P10" s="2">
        <v>2</v>
      </c>
      <c r="Q10" s="1">
        <f>M12</f>
        <v>37.593958333332012</v>
      </c>
      <c r="R10" s="1">
        <f t="shared" ref="R10:R13" si="1">Q10/P10</f>
        <v>18.796979166666006</v>
      </c>
      <c r="S10" s="1">
        <f>R10/R11</f>
        <v>724.62520746778682</v>
      </c>
      <c r="T10" s="14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86</v>
      </c>
      <c r="AC10" s="41">
        <f>I18/8</f>
        <v>16.708750000000002</v>
      </c>
      <c r="AD10" s="1" t="s">
        <v>71</v>
      </c>
      <c r="AF10" s="1" t="s">
        <v>86</v>
      </c>
      <c r="AG10" s="41">
        <f>I18/8</f>
        <v>16.708750000000002</v>
      </c>
      <c r="AH10" s="1" t="s">
        <v>74</v>
      </c>
    </row>
    <row r="11" spans="3:34" x14ac:dyDescent="0.25">
      <c r="C11" s="7"/>
      <c r="D11" s="7"/>
      <c r="E11" s="7"/>
      <c r="F11" s="7"/>
      <c r="G11" s="7"/>
      <c r="H11" s="7"/>
      <c r="I11" s="7"/>
      <c r="J11" s="17">
        <f>SUM(J7:J10)</f>
        <v>361.46000000000004</v>
      </c>
      <c r="K11" s="7">
        <v>11</v>
      </c>
      <c r="L11" s="7" t="s">
        <v>32</v>
      </c>
      <c r="M11" s="7">
        <f>(SUMSQ(D18:E18)/12)-M5</f>
        <v>134.14281666666466</v>
      </c>
      <c r="O11" s="13" t="s">
        <v>33</v>
      </c>
      <c r="P11" s="2">
        <v>6</v>
      </c>
      <c r="Q11" s="1">
        <f>M14</f>
        <v>0.15564166666808887</v>
      </c>
      <c r="R11" s="1">
        <f t="shared" si="1"/>
        <v>2.5940277778014813E-2</v>
      </c>
      <c r="T11" s="14"/>
      <c r="X11" s="1">
        <v>4.3029999999999999</v>
      </c>
      <c r="Y11" s="1">
        <v>9.9250000000000007</v>
      </c>
      <c r="Z11" s="1">
        <f>SQRT(R11/4)</f>
        <v>8.0529928874324128E-2</v>
      </c>
      <c r="AB11" s="8" t="s">
        <v>87</v>
      </c>
      <c r="AC11" s="43">
        <f>J18/8</f>
        <v>14.796250000000001</v>
      </c>
      <c r="AD11" s="8" t="s">
        <v>71</v>
      </c>
      <c r="AF11" s="8" t="s">
        <v>87</v>
      </c>
      <c r="AG11" s="43">
        <f>J18/8</f>
        <v>14.796250000000001</v>
      </c>
      <c r="AH11" s="8" t="s">
        <v>71</v>
      </c>
    </row>
    <row r="12" spans="3:34" x14ac:dyDescent="0.25">
      <c r="C12" s="75" t="s">
        <v>34</v>
      </c>
      <c r="D12" s="75"/>
      <c r="E12" s="75"/>
      <c r="F12" s="7"/>
      <c r="G12" s="76" t="s">
        <v>35</v>
      </c>
      <c r="H12" s="78"/>
      <c r="I12" s="78"/>
      <c r="J12" s="79"/>
      <c r="K12" s="7">
        <v>12</v>
      </c>
      <c r="L12" s="7" t="s">
        <v>36</v>
      </c>
      <c r="M12" s="7">
        <f>(SUMSQ(J21:J23)/8)-M5</f>
        <v>37.593958333332012</v>
      </c>
      <c r="O12" s="13" t="s">
        <v>37</v>
      </c>
      <c r="P12" s="2">
        <v>2</v>
      </c>
      <c r="Q12" s="1">
        <f>M15</f>
        <v>7.0277083333348855</v>
      </c>
      <c r="R12" s="1">
        <f t="shared" si="1"/>
        <v>3.5138541666674428</v>
      </c>
      <c r="S12" s="1">
        <f>R12/R13</f>
        <v>429.08568231327399</v>
      </c>
      <c r="T12" s="14" t="str">
        <f>IF(S12&lt;U12,"tn",IF(S12&lt;V12,"*","**"))</f>
        <v>**</v>
      </c>
      <c r="U12" s="1">
        <f>FINV(0.05,P12,P13)</f>
        <v>4.1028210151304032</v>
      </c>
      <c r="V12" s="1">
        <f>FINV(0.01,P12,P13)</f>
        <v>7.5594321575479011</v>
      </c>
      <c r="AB12" s="23" t="s">
        <v>72</v>
      </c>
      <c r="AC12" s="44">
        <f>Y11*Z11</f>
        <v>0.79925954407766697</v>
      </c>
      <c r="AD12" s="23"/>
      <c r="AF12" s="23" t="s">
        <v>73</v>
      </c>
      <c r="AG12" s="44">
        <f>X11*Z11</f>
        <v>0.3465202839462167</v>
      </c>
      <c r="AH12" s="23"/>
    </row>
    <row r="13" spans="3:34" x14ac:dyDescent="0.25">
      <c r="C13" s="18" t="s">
        <v>38</v>
      </c>
      <c r="D13" s="4" t="s">
        <v>39</v>
      </c>
      <c r="E13" s="19" t="s">
        <v>40</v>
      </c>
      <c r="F13" s="7"/>
      <c r="G13" s="4" t="s">
        <v>41</v>
      </c>
      <c r="H13" s="4" t="s">
        <v>42</v>
      </c>
      <c r="I13" s="4" t="s">
        <v>43</v>
      </c>
      <c r="J13" s="4" t="s">
        <v>44</v>
      </c>
      <c r="K13" s="7">
        <v>13</v>
      </c>
      <c r="L13" s="7" t="s">
        <v>45</v>
      </c>
      <c r="M13" s="7">
        <f>M7-M10-M11</f>
        <v>0.11168333333534974</v>
      </c>
      <c r="O13" s="15" t="s">
        <v>46</v>
      </c>
      <c r="P13" s="9">
        <v>10</v>
      </c>
      <c r="Q13" s="20">
        <f>M16</f>
        <v>8.1891666664887452E-2</v>
      </c>
      <c r="R13" s="8">
        <f t="shared" si="1"/>
        <v>8.1891666664887456E-3</v>
      </c>
      <c r="S13" s="8"/>
      <c r="T13" s="21"/>
      <c r="U13" s="8"/>
      <c r="V13" s="8"/>
      <c r="X13" s="1">
        <v>2.2280000000000002</v>
      </c>
      <c r="Y13" s="1">
        <v>3.169</v>
      </c>
      <c r="Z13" s="1">
        <f>SQRT(R13/5)</f>
        <v>4.0470153610997685E-2</v>
      </c>
    </row>
    <row r="14" spans="3:34" x14ac:dyDescent="0.25">
      <c r="C14" s="18" t="s">
        <v>20</v>
      </c>
      <c r="D14" s="4">
        <f>SUM(D7:F7)</f>
        <v>38.04</v>
      </c>
      <c r="E14" s="19">
        <f>SUM(G7:I7)</f>
        <v>52.05</v>
      </c>
      <c r="F14" s="7"/>
      <c r="G14" s="4" t="s">
        <v>20</v>
      </c>
      <c r="H14" s="4">
        <f>D7+G7</f>
        <v>27.299999999999997</v>
      </c>
      <c r="I14" s="4">
        <f>E7+H7</f>
        <v>33.32</v>
      </c>
      <c r="J14" s="4">
        <f>F7+I7</f>
        <v>29.47</v>
      </c>
      <c r="K14" s="7">
        <v>14</v>
      </c>
      <c r="L14" s="7" t="s">
        <v>47</v>
      </c>
      <c r="M14" s="7">
        <f>M8-M10-M12</f>
        <v>0.15564166666808887</v>
      </c>
      <c r="O14" s="22" t="s">
        <v>6</v>
      </c>
      <c r="P14" s="23"/>
      <c r="Q14" s="23">
        <f>SUM(Q6:Q13)</f>
        <v>179.15138333333198</v>
      </c>
      <c r="R14" s="23"/>
      <c r="S14" s="23"/>
      <c r="T14" s="23"/>
      <c r="U14" s="23"/>
      <c r="V14" s="23"/>
      <c r="AB14" s="36" t="s">
        <v>54</v>
      </c>
      <c r="AF14" s="36" t="s">
        <v>54</v>
      </c>
    </row>
    <row r="15" spans="3:34" x14ac:dyDescent="0.25">
      <c r="C15" s="18" t="s">
        <v>23</v>
      </c>
      <c r="D15" s="4">
        <f>SUM(D8:F8)</f>
        <v>38.299999999999997</v>
      </c>
      <c r="E15" s="19">
        <f t="shared" ref="E15:E17" si="2">SUM(G8:I8)</f>
        <v>51.9</v>
      </c>
      <c r="F15" s="7"/>
      <c r="G15" s="4" t="s">
        <v>23</v>
      </c>
      <c r="H15" s="4">
        <f t="shared" ref="H15:J17" si="3">D8+G8</f>
        <v>27.25</v>
      </c>
      <c r="I15" s="4">
        <f t="shared" si="3"/>
        <v>33.700000000000003</v>
      </c>
      <c r="J15" s="4">
        <f t="shared" si="3"/>
        <v>29.25</v>
      </c>
      <c r="K15" s="7">
        <v>15</v>
      </c>
      <c r="L15" s="7" t="s">
        <v>48</v>
      </c>
      <c r="M15" s="7">
        <f>M9-M11-M12</f>
        <v>7.0277083333348855</v>
      </c>
      <c r="O15" s="13" t="s">
        <v>49</v>
      </c>
      <c r="Q15" s="1">
        <f>M5</f>
        <v>5443.8888166666675</v>
      </c>
      <c r="AB15" s="23" t="s">
        <v>68</v>
      </c>
      <c r="AC15" s="23"/>
      <c r="AD15" s="23"/>
      <c r="AF15" s="23" t="s">
        <v>68</v>
      </c>
      <c r="AG15" s="23"/>
      <c r="AH15" s="23"/>
    </row>
    <row r="16" spans="3:34" x14ac:dyDescent="0.25">
      <c r="C16" s="18" t="s">
        <v>26</v>
      </c>
      <c r="D16" s="4">
        <f>SUM(D9:F9)</f>
        <v>38.099999999999994</v>
      </c>
      <c r="E16" s="19">
        <f t="shared" si="2"/>
        <v>52.599999999999994</v>
      </c>
      <c r="F16" s="7"/>
      <c r="G16" s="4" t="s">
        <v>26</v>
      </c>
      <c r="H16" s="4">
        <f t="shared" si="3"/>
        <v>27.45</v>
      </c>
      <c r="I16" s="4">
        <f t="shared" si="3"/>
        <v>33.349999999999994</v>
      </c>
      <c r="J16" s="4">
        <f t="shared" si="3"/>
        <v>29.9</v>
      </c>
      <c r="K16" s="7">
        <v>16</v>
      </c>
      <c r="L16" s="7" t="s">
        <v>50</v>
      </c>
      <c r="M16" s="12">
        <f>M6-M10-M11-M12-M13-M14-M15</f>
        <v>8.1891666664887452E-2</v>
      </c>
      <c r="O16" s="1" t="s">
        <v>51</v>
      </c>
      <c r="AB16" s="3" t="s">
        <v>76</v>
      </c>
      <c r="AC16" s="42">
        <f>H21/4</f>
        <v>11.6675</v>
      </c>
      <c r="AD16" s="1" t="s">
        <v>69</v>
      </c>
      <c r="AF16" s="3" t="s">
        <v>76</v>
      </c>
      <c r="AG16" s="42">
        <f>H21/4</f>
        <v>11.6675</v>
      </c>
      <c r="AH16" s="3" t="s">
        <v>69</v>
      </c>
    </row>
    <row r="17" spans="2:34" x14ac:dyDescent="0.25">
      <c r="C17" s="18" t="s">
        <v>29</v>
      </c>
      <c r="D17" s="4">
        <f>SUM(D10:F10)</f>
        <v>37.92</v>
      </c>
      <c r="E17" s="19">
        <f t="shared" si="2"/>
        <v>52.55</v>
      </c>
      <c r="F17" s="7"/>
      <c r="G17" s="4" t="s">
        <v>29</v>
      </c>
      <c r="H17" s="4">
        <f t="shared" si="3"/>
        <v>27.42</v>
      </c>
      <c r="I17" s="4">
        <f t="shared" si="3"/>
        <v>33.299999999999997</v>
      </c>
      <c r="J17" s="4">
        <f t="shared" si="3"/>
        <v>29.75</v>
      </c>
      <c r="K17" s="7"/>
      <c r="L17" s="7"/>
      <c r="M17" s="7"/>
      <c r="O17" s="1" t="s">
        <v>52</v>
      </c>
      <c r="AB17" s="1" t="s">
        <v>77</v>
      </c>
      <c r="AC17" s="41">
        <f>H22/4</f>
        <v>14.755000000000001</v>
      </c>
      <c r="AD17" s="1" t="s">
        <v>74</v>
      </c>
      <c r="AF17" s="1" t="s">
        <v>77</v>
      </c>
      <c r="AG17" s="41">
        <f>H22/4</f>
        <v>14.755000000000001</v>
      </c>
      <c r="AH17" s="1" t="s">
        <v>74</v>
      </c>
    </row>
    <row r="18" spans="2:34" ht="16.5" thickBot="1" x14ac:dyDescent="0.3">
      <c r="C18" s="24"/>
      <c r="D18" s="25">
        <f>SUM(D14:D17)</f>
        <v>152.36000000000001</v>
      </c>
      <c r="E18" s="26">
        <f>SUM(E14:E17)</f>
        <v>209.09999999999997</v>
      </c>
      <c r="F18" s="7"/>
      <c r="G18" s="7"/>
      <c r="H18" s="7">
        <f>SUM(H14:H17)</f>
        <v>109.42</v>
      </c>
      <c r="I18" s="7">
        <f t="shared" ref="I18:J18" si="4">SUM(I14:I17)</f>
        <v>133.67000000000002</v>
      </c>
      <c r="J18" s="7">
        <f t="shared" si="4"/>
        <v>118.37</v>
      </c>
      <c r="K18" s="7"/>
      <c r="L18" s="7"/>
      <c r="M18" s="7"/>
      <c r="O18" s="1" t="s">
        <v>53</v>
      </c>
      <c r="AB18" s="1" t="s">
        <v>78</v>
      </c>
      <c r="AC18" s="41">
        <f>H23/4</f>
        <v>11.6675</v>
      </c>
      <c r="AD18" s="1" t="s">
        <v>71</v>
      </c>
      <c r="AF18" s="1" t="s">
        <v>78</v>
      </c>
      <c r="AG18" s="41">
        <f>H23/4</f>
        <v>11.6675</v>
      </c>
      <c r="AH18" s="1" t="s">
        <v>71</v>
      </c>
    </row>
    <row r="19" spans="2:34" ht="16.5" thickBot="1" x14ac:dyDescent="0.3">
      <c r="C19" s="7"/>
      <c r="D19" s="7"/>
      <c r="E19" s="7"/>
      <c r="F19" s="7"/>
      <c r="G19" s="7"/>
      <c r="H19" s="27" t="s">
        <v>54</v>
      </c>
      <c r="I19" s="7"/>
      <c r="J19" s="7"/>
      <c r="K19" s="7"/>
      <c r="L19" s="7"/>
      <c r="M19" s="7"/>
      <c r="O19" s="1" t="s">
        <v>55</v>
      </c>
      <c r="AB19" s="1" t="s">
        <v>79</v>
      </c>
      <c r="AC19" s="41">
        <f>I21/4</f>
        <v>15.6875</v>
      </c>
      <c r="AD19" s="1" t="s">
        <v>82</v>
      </c>
      <c r="AF19" s="1" t="s">
        <v>79</v>
      </c>
      <c r="AG19" s="41">
        <f>I21/4</f>
        <v>15.6875</v>
      </c>
      <c r="AH19" s="1" t="s">
        <v>82</v>
      </c>
    </row>
    <row r="20" spans="2:34" x14ac:dyDescent="0.25">
      <c r="C20" s="7"/>
      <c r="D20" s="7"/>
      <c r="E20" s="7"/>
      <c r="F20" s="7"/>
      <c r="G20" s="28"/>
      <c r="H20" s="29" t="s">
        <v>4</v>
      </c>
      <c r="I20" s="29" t="s">
        <v>5</v>
      </c>
      <c r="J20" s="30"/>
      <c r="K20" s="7"/>
      <c r="L20" s="7"/>
      <c r="M20" s="7"/>
      <c r="O20" s="1" t="s">
        <v>56</v>
      </c>
      <c r="P20" s="1" t="s">
        <v>57</v>
      </c>
      <c r="AB20" s="1" t="s">
        <v>80</v>
      </c>
      <c r="AC20" s="41">
        <f>I22/4</f>
        <v>18.662499999999998</v>
      </c>
      <c r="AD20" s="1" t="s">
        <v>70</v>
      </c>
      <c r="AF20" s="1" t="s">
        <v>80</v>
      </c>
      <c r="AG20" s="41">
        <f>I22/4</f>
        <v>18.662499999999998</v>
      </c>
      <c r="AH20" s="1" t="s">
        <v>70</v>
      </c>
    </row>
    <row r="21" spans="2:34" x14ac:dyDescent="0.25">
      <c r="C21" s="7"/>
      <c r="D21" s="7"/>
      <c r="E21" s="7"/>
      <c r="F21" s="7"/>
      <c r="G21" s="18" t="s">
        <v>15</v>
      </c>
      <c r="H21" s="4">
        <f>SUM(D7:D10)</f>
        <v>46.67</v>
      </c>
      <c r="I21" s="4">
        <f>SUM(G7:G10)</f>
        <v>62.75</v>
      </c>
      <c r="J21" s="19">
        <f>SUM(H21:I21)</f>
        <v>109.42</v>
      </c>
      <c r="K21" s="7"/>
      <c r="L21" s="7"/>
      <c r="M21" s="7"/>
      <c r="O21" s="1" t="s">
        <v>58</v>
      </c>
      <c r="P21" s="1" t="s">
        <v>59</v>
      </c>
      <c r="AB21" s="1" t="s">
        <v>81</v>
      </c>
      <c r="AC21" s="41">
        <f>I23/4</f>
        <v>17.924999999999997</v>
      </c>
      <c r="AD21" s="1" t="s">
        <v>82</v>
      </c>
      <c r="AF21" s="8" t="s">
        <v>81</v>
      </c>
      <c r="AG21" s="43">
        <f>I23/4</f>
        <v>17.924999999999997</v>
      </c>
      <c r="AH21" s="8" t="s">
        <v>82</v>
      </c>
    </row>
    <row r="22" spans="2:34" x14ac:dyDescent="0.25">
      <c r="C22" s="7"/>
      <c r="D22" s="7"/>
      <c r="E22" s="7"/>
      <c r="F22" s="7"/>
      <c r="G22" s="18" t="s">
        <v>16</v>
      </c>
      <c r="H22" s="4">
        <f>SUM(E7:E10)</f>
        <v>59.02</v>
      </c>
      <c r="I22" s="4">
        <f>SUM(H7:H10)</f>
        <v>74.649999999999991</v>
      </c>
      <c r="J22" s="19">
        <f t="shared" ref="J22:J23" si="5">SUM(H22:I22)</f>
        <v>133.66999999999999</v>
      </c>
      <c r="K22" s="7"/>
      <c r="L22" s="7"/>
      <c r="M22" s="7"/>
      <c r="O22" s="1" t="s">
        <v>60</v>
      </c>
      <c r="P22" s="1" t="s">
        <v>61</v>
      </c>
      <c r="AB22" s="23" t="s">
        <v>72</v>
      </c>
      <c r="AC22" s="44">
        <f>Y13*Z13</f>
        <v>0.12824991679325168</v>
      </c>
      <c r="AD22" s="23"/>
      <c r="AF22" s="23" t="s">
        <v>73</v>
      </c>
      <c r="AG22" s="44">
        <f>X13*Z13</f>
        <v>9.0167502245302844E-2</v>
      </c>
      <c r="AH22" s="23"/>
    </row>
    <row r="23" spans="2:34" ht="16.5" thickBot="1" x14ac:dyDescent="0.3">
      <c r="C23" s="7"/>
      <c r="D23" s="7"/>
      <c r="E23" s="7"/>
      <c r="F23" s="7"/>
      <c r="G23" s="24" t="s">
        <v>17</v>
      </c>
      <c r="H23" s="25">
        <f>SUM(F7:F10)</f>
        <v>46.67</v>
      </c>
      <c r="I23" s="25">
        <f>SUM(I7:I10)</f>
        <v>71.699999999999989</v>
      </c>
      <c r="J23" s="26">
        <f t="shared" si="5"/>
        <v>118.36999999999999</v>
      </c>
      <c r="K23" s="7"/>
      <c r="L23" s="7"/>
      <c r="M23" s="7"/>
    </row>
    <row r="24" spans="2:34" x14ac:dyDescent="0.25">
      <c r="B24" s="72"/>
      <c r="C24" s="72"/>
      <c r="D24" s="72"/>
      <c r="E24" s="72"/>
      <c r="F24" s="72"/>
    </row>
    <row r="25" spans="2:34" x14ac:dyDescent="0.25">
      <c r="B25" s="72"/>
      <c r="C25" s="72"/>
      <c r="D25" s="72"/>
      <c r="E25" s="72"/>
      <c r="F25" s="72"/>
      <c r="G25" s="72"/>
      <c r="H25" s="72"/>
      <c r="I25" s="72"/>
    </row>
    <row r="26" spans="2:34" x14ac:dyDescent="0.25">
      <c r="B26" s="72"/>
      <c r="C26" s="72"/>
      <c r="D26" s="72"/>
      <c r="E26" s="72"/>
      <c r="F26" s="72"/>
      <c r="I26" s="72"/>
    </row>
    <row r="42" spans="6:13" x14ac:dyDescent="0.25">
      <c r="F42" s="31"/>
      <c r="G42" s="32"/>
      <c r="H42" s="31"/>
      <c r="I42" s="31"/>
      <c r="J42" s="31"/>
      <c r="K42" s="31"/>
      <c r="L42" s="33"/>
      <c r="M42" s="7"/>
    </row>
    <row r="43" spans="6:13" x14ac:dyDescent="0.25">
      <c r="F43" s="31"/>
      <c r="G43" s="32"/>
      <c r="H43" s="7"/>
      <c r="I43" s="7"/>
      <c r="J43" s="7"/>
      <c r="K43" s="7"/>
      <c r="L43" s="7"/>
      <c r="M43" s="7"/>
    </row>
    <row r="44" spans="6:13" x14ac:dyDescent="0.25">
      <c r="F44" s="31"/>
      <c r="G44" s="7"/>
      <c r="H44" s="7"/>
      <c r="I44" s="7"/>
      <c r="J44" s="7"/>
      <c r="K44" s="7"/>
      <c r="L44" s="7"/>
    </row>
    <row r="45" spans="6:13" x14ac:dyDescent="0.25">
      <c r="F45" s="31"/>
      <c r="G45" s="7"/>
      <c r="H45" s="7"/>
      <c r="I45" s="7"/>
      <c r="J45" s="7"/>
      <c r="K45" s="7"/>
      <c r="L45" s="7"/>
    </row>
    <row r="46" spans="6:13" x14ac:dyDescent="0.25">
      <c r="F46" s="31"/>
      <c r="G46" s="7"/>
      <c r="H46" s="7"/>
      <c r="I46" s="7"/>
      <c r="J46" s="7"/>
      <c r="K46" s="7"/>
      <c r="L46" s="7"/>
    </row>
    <row r="47" spans="6:13" x14ac:dyDescent="0.25">
      <c r="F47" s="7"/>
      <c r="G47" s="2"/>
      <c r="H47" s="34"/>
      <c r="I47" s="34"/>
      <c r="J47" s="34"/>
      <c r="K47" s="34"/>
      <c r="L47" s="34"/>
    </row>
    <row r="48" spans="6:13" x14ac:dyDescent="0.25">
      <c r="F48" s="31"/>
      <c r="G48" s="7"/>
      <c r="H48" s="2"/>
      <c r="I48" s="2"/>
      <c r="J48" s="2"/>
      <c r="K48" s="2"/>
    </row>
    <row r="49" spans="6:11" x14ac:dyDescent="0.25">
      <c r="F49" s="31"/>
      <c r="G49" s="7"/>
      <c r="H49" s="2"/>
      <c r="I49" s="2"/>
      <c r="J49" s="2"/>
      <c r="K49" s="2"/>
    </row>
    <row r="50" spans="6:11" x14ac:dyDescent="0.25">
      <c r="F50" s="31"/>
      <c r="G50" s="7"/>
      <c r="H50" s="2"/>
      <c r="I50" s="2"/>
      <c r="J50" s="2"/>
      <c r="K50" s="2"/>
    </row>
    <row r="51" spans="6:11" x14ac:dyDescent="0.25">
      <c r="F51" s="2"/>
    </row>
    <row r="52" spans="6:11" x14ac:dyDescent="0.25">
      <c r="F52" s="35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4:C6"/>
    <mergeCell ref="D4:F5"/>
    <mergeCell ref="G4:I5"/>
    <mergeCell ref="J4:J6"/>
    <mergeCell ref="C12:E12"/>
    <mergeCell ref="G12:J12"/>
    <mergeCell ref="X3:Y3"/>
    <mergeCell ref="AB3:AC3"/>
    <mergeCell ref="D1:G1"/>
    <mergeCell ref="D2:G2"/>
    <mergeCell ref="U3:V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6D62D-B578-49C1-B1CB-FFBA2C09D5B9}">
  <dimension ref="B1:AH52"/>
  <sheetViews>
    <sheetView topLeftCell="P7" workbookViewId="0">
      <selection activeCell="AC16" sqref="AC16:AD22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7" width="13.7109375" style="1" customWidth="1"/>
    <col min="18" max="19" width="9.140625" style="1"/>
    <col min="20" max="20" width="3.28515625" style="1" customWidth="1"/>
    <col min="21" max="22" width="9.140625" style="1"/>
    <col min="23" max="23" width="3.28515625" style="1" customWidth="1"/>
    <col min="24" max="26" width="9.140625" style="1"/>
    <col min="27" max="27" width="3.5703125" style="1" customWidth="1"/>
    <col min="28" max="28" width="28.140625" style="1" bestFit="1" customWidth="1"/>
    <col min="29" max="29" width="9.140625" style="1"/>
    <col min="30" max="30" width="3" style="1" customWidth="1"/>
    <col min="31" max="31" width="6.7109375" style="1" customWidth="1"/>
    <col min="32" max="32" width="22.5703125" style="1" customWidth="1"/>
    <col min="33" max="33" width="9.140625" style="1"/>
    <col min="34" max="34" width="4.28515625" style="1" customWidth="1"/>
    <col min="35" max="16384" width="9.140625" style="1"/>
  </cols>
  <sheetData>
    <row r="1" spans="3:34" ht="22.5" x14ac:dyDescent="0.3">
      <c r="D1" s="80" t="s">
        <v>88</v>
      </c>
      <c r="E1" s="80"/>
      <c r="F1" s="80"/>
      <c r="G1" s="80"/>
    </row>
    <row r="2" spans="3:34" x14ac:dyDescent="0.25">
      <c r="D2" s="73" t="s">
        <v>64</v>
      </c>
      <c r="E2" s="73"/>
      <c r="F2" s="73"/>
      <c r="G2" s="73"/>
      <c r="O2" s="1" t="s">
        <v>1</v>
      </c>
    </row>
    <row r="3" spans="3:34" x14ac:dyDescent="0.25">
      <c r="O3" s="3"/>
      <c r="P3" s="3"/>
      <c r="Q3" s="3"/>
      <c r="R3" s="3"/>
      <c r="S3" s="3"/>
      <c r="T3" s="3"/>
      <c r="U3" s="71" t="s">
        <v>2</v>
      </c>
      <c r="V3" s="71"/>
      <c r="X3" s="71" t="s">
        <v>66</v>
      </c>
      <c r="Y3" s="71"/>
      <c r="AB3" s="72"/>
      <c r="AC3" s="72"/>
    </row>
    <row r="4" spans="3:34" ht="31.5" customHeight="1" x14ac:dyDescent="0.25">
      <c r="C4" s="74" t="s">
        <v>3</v>
      </c>
      <c r="D4" s="75" t="s">
        <v>4</v>
      </c>
      <c r="E4" s="75"/>
      <c r="F4" s="75"/>
      <c r="G4" s="75" t="s">
        <v>5</v>
      </c>
      <c r="H4" s="75"/>
      <c r="I4" s="76"/>
      <c r="J4" s="77" t="s">
        <v>6</v>
      </c>
      <c r="K4" s="7">
        <v>4</v>
      </c>
      <c r="L4" s="7" t="s">
        <v>7</v>
      </c>
      <c r="M4" s="7">
        <f>SUMSQ(D7:I10)</f>
        <v>13119.9287</v>
      </c>
      <c r="O4" s="8" t="s">
        <v>8</v>
      </c>
      <c r="P4" s="9" t="s">
        <v>9</v>
      </c>
      <c r="Q4" s="8" t="s">
        <v>10</v>
      </c>
      <c r="R4" s="8" t="s">
        <v>11</v>
      </c>
      <c r="S4" s="8" t="s">
        <v>12</v>
      </c>
      <c r="T4" s="8"/>
      <c r="U4" s="10">
        <v>0.05</v>
      </c>
      <c r="V4" s="10">
        <v>0.01</v>
      </c>
      <c r="X4" s="39">
        <v>0.05</v>
      </c>
      <c r="Y4" s="39">
        <v>0.01</v>
      </c>
      <c r="Z4" s="38" t="s">
        <v>65</v>
      </c>
      <c r="AA4" s="38"/>
      <c r="AB4" s="40" t="s">
        <v>68</v>
      </c>
      <c r="AC4" s="40"/>
      <c r="AD4" s="23"/>
      <c r="AF4" s="40" t="s">
        <v>68</v>
      </c>
      <c r="AG4" s="40"/>
      <c r="AH4" s="23"/>
    </row>
    <row r="5" spans="3:34" x14ac:dyDescent="0.25">
      <c r="C5" s="74"/>
      <c r="D5" s="75"/>
      <c r="E5" s="75"/>
      <c r="F5" s="75"/>
      <c r="G5" s="75"/>
      <c r="H5" s="75"/>
      <c r="I5" s="76"/>
      <c r="J5" s="77"/>
      <c r="K5" s="7">
        <v>5</v>
      </c>
      <c r="L5" s="7" t="s">
        <v>13</v>
      </c>
      <c r="M5" s="7">
        <f>(J11^2)/24</f>
        <v>13082.071204166668</v>
      </c>
      <c r="O5" s="1" t="s">
        <v>14</v>
      </c>
      <c r="T5" s="11"/>
      <c r="AB5" s="3" t="s">
        <v>83</v>
      </c>
      <c r="AC5" s="42">
        <f>D18/12</f>
        <v>22.4175</v>
      </c>
      <c r="AD5" s="3" t="s">
        <v>69</v>
      </c>
      <c r="AF5" s="3" t="s">
        <v>83</v>
      </c>
      <c r="AG5" s="42">
        <f>D18/12</f>
        <v>22.4175</v>
      </c>
      <c r="AH5" s="3" t="s">
        <v>69</v>
      </c>
    </row>
    <row r="6" spans="3:34" x14ac:dyDescent="0.25">
      <c r="C6" s="74"/>
      <c r="D6" s="4" t="s">
        <v>15</v>
      </c>
      <c r="E6" s="4" t="s">
        <v>16</v>
      </c>
      <c r="F6" s="4" t="s">
        <v>17</v>
      </c>
      <c r="G6" s="4" t="s">
        <v>15</v>
      </c>
      <c r="H6" s="4" t="s">
        <v>16</v>
      </c>
      <c r="I6" s="5" t="s">
        <v>17</v>
      </c>
      <c r="J6" s="77"/>
      <c r="K6" s="7">
        <v>6</v>
      </c>
      <c r="L6" s="7" t="s">
        <v>18</v>
      </c>
      <c r="M6" s="12">
        <f>SUMSQ(D7:I10)-M5</f>
        <v>37.857495833331996</v>
      </c>
      <c r="N6" s="2"/>
      <c r="O6" s="13" t="s">
        <v>19</v>
      </c>
      <c r="P6" s="2">
        <v>3</v>
      </c>
      <c r="Q6" s="1">
        <f>M10</f>
        <v>0.51761249999981374</v>
      </c>
      <c r="R6" s="1">
        <f>Q6/P6</f>
        <v>0.17253749999993792</v>
      </c>
      <c r="T6" s="11"/>
      <c r="AB6" s="8" t="s">
        <v>84</v>
      </c>
      <c r="AC6" s="43">
        <f>E18/12</f>
        <v>24.276666666666667</v>
      </c>
      <c r="AD6" s="8" t="s">
        <v>71</v>
      </c>
      <c r="AF6" s="8" t="s">
        <v>84</v>
      </c>
      <c r="AG6" s="43">
        <f>E18/12</f>
        <v>24.276666666666667</v>
      </c>
      <c r="AH6" s="8" t="s">
        <v>71</v>
      </c>
    </row>
    <row r="7" spans="3:34" x14ac:dyDescent="0.25">
      <c r="C7" s="4" t="s">
        <v>20</v>
      </c>
      <c r="D7" s="4">
        <v>21.69</v>
      </c>
      <c r="E7" s="4">
        <v>22.77</v>
      </c>
      <c r="F7" s="4">
        <v>22.4</v>
      </c>
      <c r="G7" s="4">
        <v>23.55</v>
      </c>
      <c r="H7" s="4">
        <v>25.15</v>
      </c>
      <c r="I7" s="5">
        <v>24.98</v>
      </c>
      <c r="J7" s="6">
        <f>SUM(D7:I7)</f>
        <v>140.54</v>
      </c>
      <c r="K7" s="7">
        <v>7</v>
      </c>
      <c r="L7" s="7" t="s">
        <v>21</v>
      </c>
      <c r="M7" s="7">
        <f>(SUMSQ(D14:E17)/3)-M5</f>
        <v>21.722895833330767</v>
      </c>
      <c r="O7" s="13" t="s">
        <v>22</v>
      </c>
      <c r="P7" s="2">
        <v>1</v>
      </c>
      <c r="Q7" s="1">
        <f>M11</f>
        <v>20.739004166662198</v>
      </c>
      <c r="R7" s="1">
        <f>Q7/P7</f>
        <v>20.739004166662198</v>
      </c>
      <c r="S7" s="1">
        <f>R7/R8</f>
        <v>133.43296665918928</v>
      </c>
      <c r="T7" s="14" t="str">
        <f>IF(S7&lt;U7,"tn",IF(S7&lt;V7,"*","**"))</f>
        <v>**</v>
      </c>
      <c r="U7" s="1">
        <f>FINV(0.05,P7,P8)</f>
        <v>10.127964486013932</v>
      </c>
      <c r="V7" s="1">
        <f>FINV(0.01,P7,P8)</f>
        <v>34.116221564529795</v>
      </c>
      <c r="AB7" s="8" t="s">
        <v>67</v>
      </c>
      <c r="AC7" s="43">
        <f>Y8*Z8</f>
        <v>1.1513824065619178</v>
      </c>
      <c r="AD7" s="8"/>
      <c r="AF7" s="8" t="s">
        <v>75</v>
      </c>
      <c r="AG7" s="43">
        <f>X8*Z8</f>
        <v>0.62723828414312999</v>
      </c>
      <c r="AH7" s="8"/>
    </row>
    <row r="8" spans="3:34" x14ac:dyDescent="0.25">
      <c r="C8" s="4" t="s">
        <v>23</v>
      </c>
      <c r="D8" s="4">
        <v>22.14</v>
      </c>
      <c r="E8" s="4">
        <v>23.88</v>
      </c>
      <c r="F8" s="4">
        <v>22.14</v>
      </c>
      <c r="G8" s="4">
        <v>22.5</v>
      </c>
      <c r="H8" s="4">
        <v>25.75</v>
      </c>
      <c r="I8" s="5">
        <v>24.65</v>
      </c>
      <c r="J8" s="6">
        <f t="shared" ref="J8:J10" si="0">SUM(D8:I8)</f>
        <v>141.06</v>
      </c>
      <c r="K8" s="7">
        <v>8</v>
      </c>
      <c r="L8" s="7" t="s">
        <v>24</v>
      </c>
      <c r="M8" s="7">
        <f>(SUMSQ(H14:J17)/2)-M5</f>
        <v>14.155645833330709</v>
      </c>
      <c r="O8" s="15" t="s">
        <v>25</v>
      </c>
      <c r="P8" s="9">
        <v>3</v>
      </c>
      <c r="Q8" s="8">
        <f>M13</f>
        <v>0.46627916666875535</v>
      </c>
      <c r="R8" s="8">
        <f>Q8/P8</f>
        <v>0.15542638888958513</v>
      </c>
      <c r="S8" s="8"/>
      <c r="T8" s="16"/>
      <c r="U8" s="8"/>
      <c r="V8" s="8"/>
      <c r="X8" s="1">
        <v>3.1819999999999999</v>
      </c>
      <c r="Y8" s="1">
        <v>5.8410000000000002</v>
      </c>
      <c r="Z8" s="1">
        <f>SQRT(R8/4)</f>
        <v>0.19712076811537713</v>
      </c>
      <c r="AC8" s="41"/>
      <c r="AG8" s="41"/>
    </row>
    <row r="9" spans="3:34" x14ac:dyDescent="0.25">
      <c r="C9" s="4" t="s">
        <v>26</v>
      </c>
      <c r="D9" s="4">
        <v>21.65</v>
      </c>
      <c r="E9" s="4">
        <v>22.75</v>
      </c>
      <c r="F9" s="4">
        <v>22.5</v>
      </c>
      <c r="G9" s="4">
        <v>22.14</v>
      </c>
      <c r="H9" s="4">
        <v>24.75</v>
      </c>
      <c r="I9" s="5">
        <v>24.9</v>
      </c>
      <c r="J9" s="6">
        <f t="shared" si="0"/>
        <v>138.69</v>
      </c>
      <c r="K9" s="7">
        <v>9</v>
      </c>
      <c r="L9" s="7" t="s">
        <v>27</v>
      </c>
      <c r="M9" s="7">
        <f>(SUMSQ(H21:I23)/4)-M5</f>
        <v>33.50607083333125</v>
      </c>
      <c r="O9" s="1" t="s">
        <v>28</v>
      </c>
      <c r="P9" s="2"/>
      <c r="T9" s="14"/>
      <c r="AB9" s="3" t="s">
        <v>85</v>
      </c>
      <c r="AC9" s="42">
        <f>H18/8</f>
        <v>22.421250000000001</v>
      </c>
      <c r="AD9" s="3" t="s">
        <v>69</v>
      </c>
      <c r="AF9" s="3" t="s">
        <v>85</v>
      </c>
      <c r="AG9" s="42">
        <f>H18/8</f>
        <v>22.421250000000001</v>
      </c>
      <c r="AH9" s="3" t="s">
        <v>69</v>
      </c>
    </row>
    <row r="10" spans="3:34" x14ac:dyDescent="0.25">
      <c r="C10" s="4" t="s">
        <v>29</v>
      </c>
      <c r="D10" s="4">
        <v>21.8</v>
      </c>
      <c r="E10" s="4">
        <v>22.69</v>
      </c>
      <c r="F10" s="4">
        <v>22.6</v>
      </c>
      <c r="G10" s="4">
        <v>23.9</v>
      </c>
      <c r="H10" s="4">
        <v>24.9</v>
      </c>
      <c r="I10" s="5">
        <v>24.15</v>
      </c>
      <c r="J10" s="6">
        <f t="shared" si="0"/>
        <v>140.04000000000002</v>
      </c>
      <c r="K10" s="7">
        <v>10</v>
      </c>
      <c r="L10" s="7" t="s">
        <v>30</v>
      </c>
      <c r="M10" s="7">
        <f>(SUMSQ(J7:J10)/6)-M5</f>
        <v>0.51761249999981374</v>
      </c>
      <c r="O10" s="13" t="s">
        <v>31</v>
      </c>
      <c r="P10" s="2">
        <v>2</v>
      </c>
      <c r="Q10" s="1">
        <f>M12</f>
        <v>11.452408333332642</v>
      </c>
      <c r="R10" s="1">
        <f t="shared" ref="R10:R13" si="1">Q10/P10</f>
        <v>5.7262041666663208</v>
      </c>
      <c r="S10" s="1">
        <f>R10/R11</f>
        <v>15.719633971987591</v>
      </c>
      <c r="T10" s="14" t="str">
        <f>IF(S10&lt;U10,"tn",IF(S10&lt;V10,"*","**"))</f>
        <v>**</v>
      </c>
      <c r="U10" s="1">
        <f>FINV(0.05,P10,P11)</f>
        <v>5.1432528497847176</v>
      </c>
      <c r="V10" s="1">
        <f>FINV(0.01,P10,P11)</f>
        <v>10.924766500838338</v>
      </c>
      <c r="AB10" s="1" t="s">
        <v>86</v>
      </c>
      <c r="AC10" s="41">
        <f>I18/8</f>
        <v>24.080000000000002</v>
      </c>
      <c r="AD10" s="1" t="s">
        <v>71</v>
      </c>
      <c r="AF10" s="1" t="s">
        <v>86</v>
      </c>
      <c r="AG10" s="41">
        <f>I18/8</f>
        <v>24.080000000000002</v>
      </c>
      <c r="AH10" s="1" t="s">
        <v>74</v>
      </c>
    </row>
    <row r="11" spans="3:34" x14ac:dyDescent="0.25">
      <c r="C11" s="7"/>
      <c r="D11" s="7"/>
      <c r="E11" s="7"/>
      <c r="F11" s="7"/>
      <c r="G11" s="7"/>
      <c r="H11" s="7"/>
      <c r="I11" s="7"/>
      <c r="J11" s="17">
        <f>SUM(J7:J10)</f>
        <v>560.33000000000004</v>
      </c>
      <c r="K11" s="7">
        <v>11</v>
      </c>
      <c r="L11" s="7" t="s">
        <v>32</v>
      </c>
      <c r="M11" s="7">
        <f>(SUMSQ(D18:E18)/12)-M5</f>
        <v>20.739004166662198</v>
      </c>
      <c r="O11" s="13" t="s">
        <v>33</v>
      </c>
      <c r="P11" s="2">
        <v>6</v>
      </c>
      <c r="Q11" s="1">
        <f>M14</f>
        <v>2.1856249999982538</v>
      </c>
      <c r="R11" s="1">
        <f t="shared" si="1"/>
        <v>0.36427083333304228</v>
      </c>
      <c r="T11" s="14"/>
      <c r="X11" s="1">
        <v>4.3029999999999999</v>
      </c>
      <c r="Y11" s="1">
        <v>9.9250000000000007</v>
      </c>
      <c r="Z11" s="1">
        <f>SQRT(R11/4)</f>
        <v>0.30177426718204547</v>
      </c>
      <c r="AB11" s="8" t="s">
        <v>87</v>
      </c>
      <c r="AC11" s="43">
        <f>J18/8</f>
        <v>23.54</v>
      </c>
      <c r="AD11" s="8" t="s">
        <v>71</v>
      </c>
      <c r="AF11" s="8" t="s">
        <v>87</v>
      </c>
      <c r="AG11" s="43">
        <f>J18/8</f>
        <v>23.54</v>
      </c>
      <c r="AH11" s="8" t="s">
        <v>71</v>
      </c>
    </row>
    <row r="12" spans="3:34" x14ac:dyDescent="0.25">
      <c r="C12" s="75" t="s">
        <v>34</v>
      </c>
      <c r="D12" s="75"/>
      <c r="E12" s="75"/>
      <c r="F12" s="7"/>
      <c r="G12" s="76" t="s">
        <v>35</v>
      </c>
      <c r="H12" s="78"/>
      <c r="I12" s="78"/>
      <c r="J12" s="79"/>
      <c r="K12" s="7">
        <v>12</v>
      </c>
      <c r="L12" s="7" t="s">
        <v>36</v>
      </c>
      <c r="M12" s="7">
        <f>(SUMSQ(J21:J23)/8)-M5</f>
        <v>11.452408333332642</v>
      </c>
      <c r="O12" s="13" t="s">
        <v>37</v>
      </c>
      <c r="P12" s="2">
        <v>2</v>
      </c>
      <c r="Q12" s="1">
        <f>M15</f>
        <v>1.3146583333364106</v>
      </c>
      <c r="R12" s="1">
        <f t="shared" si="1"/>
        <v>0.65732916666820529</v>
      </c>
      <c r="S12" s="1">
        <f>R12/R13</f>
        <v>5.5615917760222047</v>
      </c>
      <c r="T12" s="14" t="str">
        <f>IF(S12&lt;U12,"tn",IF(S12&lt;V12,"*","**"))</f>
        <v>*</v>
      </c>
      <c r="U12" s="1">
        <f>FINV(0.05,P12,P13)</f>
        <v>4.1028210151304032</v>
      </c>
      <c r="V12" s="1">
        <f>FINV(0.01,P12,P13)</f>
        <v>7.5594321575479011</v>
      </c>
      <c r="AB12" s="23" t="s">
        <v>72</v>
      </c>
      <c r="AC12" s="44">
        <f>Y11*Z11</f>
        <v>2.9951096017818015</v>
      </c>
      <c r="AD12" s="23"/>
      <c r="AF12" s="23" t="s">
        <v>73</v>
      </c>
      <c r="AG12" s="44">
        <f>X11*Z11</f>
        <v>1.2985346716843416</v>
      </c>
      <c r="AH12" s="23"/>
    </row>
    <row r="13" spans="3:34" x14ac:dyDescent="0.25">
      <c r="C13" s="18" t="s">
        <v>38</v>
      </c>
      <c r="D13" s="4" t="s">
        <v>39</v>
      </c>
      <c r="E13" s="19" t="s">
        <v>40</v>
      </c>
      <c r="F13" s="7"/>
      <c r="G13" s="4" t="s">
        <v>41</v>
      </c>
      <c r="H13" s="4" t="s">
        <v>42</v>
      </c>
      <c r="I13" s="4" t="s">
        <v>43</v>
      </c>
      <c r="J13" s="4" t="s">
        <v>44</v>
      </c>
      <c r="K13" s="7">
        <v>13</v>
      </c>
      <c r="L13" s="7" t="s">
        <v>45</v>
      </c>
      <c r="M13" s="7">
        <f>M7-M10-M11</f>
        <v>0.46627916666875535</v>
      </c>
      <c r="O13" s="15" t="s">
        <v>46</v>
      </c>
      <c r="P13" s="9">
        <v>10</v>
      </c>
      <c r="Q13" s="20">
        <f>M16</f>
        <v>1.1819083333339222</v>
      </c>
      <c r="R13" s="8">
        <f t="shared" si="1"/>
        <v>0.11819083333339223</v>
      </c>
      <c r="S13" s="8"/>
      <c r="T13" s="21"/>
      <c r="U13" s="8"/>
      <c r="V13" s="8"/>
      <c r="X13" s="1">
        <v>2.2280000000000002</v>
      </c>
      <c r="Y13" s="1">
        <v>3.169</v>
      </c>
      <c r="Z13" s="1">
        <f>SQRT(R13/5)</f>
        <v>0.15374708669330436</v>
      </c>
    </row>
    <row r="14" spans="3:34" x14ac:dyDescent="0.25">
      <c r="C14" s="18" t="s">
        <v>20</v>
      </c>
      <c r="D14" s="4">
        <f>SUM(D7:F7)</f>
        <v>66.86</v>
      </c>
      <c r="E14" s="19">
        <f>SUM(G7:I7)</f>
        <v>73.680000000000007</v>
      </c>
      <c r="F14" s="7"/>
      <c r="G14" s="4" t="s">
        <v>20</v>
      </c>
      <c r="H14" s="4">
        <f>D7+G7</f>
        <v>45.24</v>
      </c>
      <c r="I14" s="4">
        <f>E7+H7</f>
        <v>47.92</v>
      </c>
      <c r="J14" s="4">
        <f>F7+I7</f>
        <v>47.379999999999995</v>
      </c>
      <c r="K14" s="7">
        <v>14</v>
      </c>
      <c r="L14" s="7" t="s">
        <v>47</v>
      </c>
      <c r="M14" s="7">
        <f>M8-M10-M12</f>
        <v>2.1856249999982538</v>
      </c>
      <c r="O14" s="22" t="s">
        <v>6</v>
      </c>
      <c r="P14" s="23"/>
      <c r="Q14" s="23">
        <f>SUM(Q6:Q13)</f>
        <v>37.857495833331996</v>
      </c>
      <c r="R14" s="23"/>
      <c r="S14" s="23"/>
      <c r="T14" s="23"/>
      <c r="U14" s="23"/>
      <c r="V14" s="23"/>
      <c r="AB14" s="36" t="s">
        <v>54</v>
      </c>
      <c r="AF14" s="36" t="s">
        <v>54</v>
      </c>
    </row>
    <row r="15" spans="3:34" x14ac:dyDescent="0.25">
      <c r="C15" s="18" t="s">
        <v>23</v>
      </c>
      <c r="D15" s="4">
        <f>SUM(D8:F8)</f>
        <v>68.16</v>
      </c>
      <c r="E15" s="19">
        <f t="shared" ref="E15:E17" si="2">SUM(G8:I8)</f>
        <v>72.900000000000006</v>
      </c>
      <c r="F15" s="7"/>
      <c r="G15" s="4" t="s">
        <v>23</v>
      </c>
      <c r="H15" s="4">
        <f t="shared" ref="H15:J17" si="3">D8+G8</f>
        <v>44.64</v>
      </c>
      <c r="I15" s="4">
        <f t="shared" si="3"/>
        <v>49.629999999999995</v>
      </c>
      <c r="J15" s="4">
        <f t="shared" si="3"/>
        <v>46.79</v>
      </c>
      <c r="K15" s="7">
        <v>15</v>
      </c>
      <c r="L15" s="7" t="s">
        <v>48</v>
      </c>
      <c r="M15" s="7">
        <f>M9-M11-M12</f>
        <v>1.3146583333364106</v>
      </c>
      <c r="O15" s="13" t="s">
        <v>49</v>
      </c>
      <c r="Q15" s="1">
        <f>M5</f>
        <v>13082.071204166668</v>
      </c>
      <c r="AB15" s="23" t="s">
        <v>68</v>
      </c>
      <c r="AC15" s="23"/>
      <c r="AD15" s="23"/>
      <c r="AF15" s="23" t="s">
        <v>68</v>
      </c>
      <c r="AG15" s="23"/>
      <c r="AH15" s="23"/>
    </row>
    <row r="16" spans="3:34" x14ac:dyDescent="0.25">
      <c r="C16" s="18" t="s">
        <v>26</v>
      </c>
      <c r="D16" s="4">
        <f>SUM(D9:F9)</f>
        <v>66.900000000000006</v>
      </c>
      <c r="E16" s="19">
        <f t="shared" si="2"/>
        <v>71.789999999999992</v>
      </c>
      <c r="F16" s="7"/>
      <c r="G16" s="4" t="s">
        <v>26</v>
      </c>
      <c r="H16" s="4">
        <f t="shared" si="3"/>
        <v>43.79</v>
      </c>
      <c r="I16" s="4">
        <f t="shared" si="3"/>
        <v>47.5</v>
      </c>
      <c r="J16" s="4">
        <f t="shared" si="3"/>
        <v>47.4</v>
      </c>
      <c r="K16" s="7">
        <v>16</v>
      </c>
      <c r="L16" s="7" t="s">
        <v>50</v>
      </c>
      <c r="M16" s="12">
        <f>M6-M10-M11-M12-M13-M14-M15</f>
        <v>1.1819083333339222</v>
      </c>
      <c r="O16" s="1" t="s">
        <v>51</v>
      </c>
      <c r="AB16" s="3" t="s">
        <v>76</v>
      </c>
      <c r="AC16" s="42">
        <f>H21/4</f>
        <v>21.819999999999997</v>
      </c>
      <c r="AD16" s="1" t="s">
        <v>69</v>
      </c>
      <c r="AF16" s="3" t="s">
        <v>76</v>
      </c>
      <c r="AG16" s="42">
        <f>H21/4</f>
        <v>21.819999999999997</v>
      </c>
      <c r="AH16" s="3" t="s">
        <v>69</v>
      </c>
    </row>
    <row r="17" spans="2:34" x14ac:dyDescent="0.25">
      <c r="C17" s="18" t="s">
        <v>29</v>
      </c>
      <c r="D17" s="4">
        <f>SUM(D10:F10)</f>
        <v>67.09</v>
      </c>
      <c r="E17" s="19">
        <f t="shared" si="2"/>
        <v>72.949999999999989</v>
      </c>
      <c r="F17" s="7"/>
      <c r="G17" s="4" t="s">
        <v>29</v>
      </c>
      <c r="H17" s="4">
        <f t="shared" si="3"/>
        <v>45.7</v>
      </c>
      <c r="I17" s="4">
        <f t="shared" si="3"/>
        <v>47.59</v>
      </c>
      <c r="J17" s="4">
        <f t="shared" si="3"/>
        <v>46.75</v>
      </c>
      <c r="K17" s="7"/>
      <c r="L17" s="7"/>
      <c r="M17" s="7"/>
      <c r="O17" s="1" t="s">
        <v>52</v>
      </c>
      <c r="AB17" s="1" t="s">
        <v>77</v>
      </c>
      <c r="AC17" s="41">
        <f>H22/4</f>
        <v>23.022500000000001</v>
      </c>
      <c r="AD17" s="1" t="s">
        <v>74</v>
      </c>
      <c r="AF17" s="1" t="s">
        <v>77</v>
      </c>
      <c r="AG17" s="41">
        <f>H22/4</f>
        <v>23.022500000000001</v>
      </c>
      <c r="AH17" s="1" t="s">
        <v>74</v>
      </c>
    </row>
    <row r="18" spans="2:34" ht="16.5" thickBot="1" x14ac:dyDescent="0.3">
      <c r="C18" s="24"/>
      <c r="D18" s="25">
        <f>SUM(D14:D17)</f>
        <v>269.01</v>
      </c>
      <c r="E18" s="26">
        <f>SUM(E14:E17)</f>
        <v>291.32</v>
      </c>
      <c r="F18" s="7"/>
      <c r="G18" s="7"/>
      <c r="H18" s="7">
        <f>SUM(H14:H17)</f>
        <v>179.37</v>
      </c>
      <c r="I18" s="7">
        <f t="shared" ref="I18:J18" si="4">SUM(I14:I17)</f>
        <v>192.64000000000001</v>
      </c>
      <c r="J18" s="7">
        <f t="shared" si="4"/>
        <v>188.32</v>
      </c>
      <c r="K18" s="7"/>
      <c r="L18" s="7"/>
      <c r="M18" s="7"/>
      <c r="O18" s="1" t="s">
        <v>53</v>
      </c>
      <c r="AB18" s="1" t="s">
        <v>78</v>
      </c>
      <c r="AC18" s="41">
        <f>H23/4</f>
        <v>22.409999999999997</v>
      </c>
      <c r="AD18" s="1" t="s">
        <v>71</v>
      </c>
      <c r="AF18" s="1" t="s">
        <v>78</v>
      </c>
      <c r="AG18" s="41">
        <f>H23/4</f>
        <v>22.409999999999997</v>
      </c>
      <c r="AH18" s="1" t="s">
        <v>71</v>
      </c>
    </row>
    <row r="19" spans="2:34" ht="16.5" thickBot="1" x14ac:dyDescent="0.3">
      <c r="C19" s="7"/>
      <c r="D19" s="7"/>
      <c r="E19" s="7"/>
      <c r="F19" s="7"/>
      <c r="G19" s="7"/>
      <c r="H19" s="27" t="s">
        <v>54</v>
      </c>
      <c r="I19" s="7"/>
      <c r="J19" s="7"/>
      <c r="K19" s="7"/>
      <c r="L19" s="7"/>
      <c r="M19" s="7"/>
      <c r="O19" s="1" t="s">
        <v>55</v>
      </c>
      <c r="AB19" s="1" t="s">
        <v>79</v>
      </c>
      <c r="AC19" s="41">
        <f>I21/4</f>
        <v>23.022500000000001</v>
      </c>
      <c r="AD19" s="1" t="s">
        <v>82</v>
      </c>
      <c r="AF19" s="1" t="s">
        <v>79</v>
      </c>
      <c r="AG19" s="41">
        <f>I21/4</f>
        <v>23.022500000000001</v>
      </c>
      <c r="AH19" s="1" t="s">
        <v>82</v>
      </c>
    </row>
    <row r="20" spans="2:34" x14ac:dyDescent="0.25">
      <c r="C20" s="7"/>
      <c r="D20" s="7"/>
      <c r="E20" s="7"/>
      <c r="F20" s="7"/>
      <c r="G20" s="28"/>
      <c r="H20" s="29" t="s">
        <v>4</v>
      </c>
      <c r="I20" s="29" t="s">
        <v>5</v>
      </c>
      <c r="J20" s="30"/>
      <c r="K20" s="7"/>
      <c r="L20" s="7"/>
      <c r="M20" s="7"/>
      <c r="O20" s="1" t="s">
        <v>56</v>
      </c>
      <c r="P20" s="1" t="s">
        <v>57</v>
      </c>
      <c r="AB20" s="1" t="s">
        <v>80</v>
      </c>
      <c r="AC20" s="41">
        <f>I22/4</f>
        <v>25.137500000000003</v>
      </c>
      <c r="AD20" s="1" t="s">
        <v>70</v>
      </c>
      <c r="AF20" s="1" t="s">
        <v>80</v>
      </c>
      <c r="AG20" s="41">
        <f>I22/4</f>
        <v>25.137500000000003</v>
      </c>
      <c r="AH20" s="1" t="s">
        <v>70</v>
      </c>
    </row>
    <row r="21" spans="2:34" x14ac:dyDescent="0.25">
      <c r="C21" s="7"/>
      <c r="D21" s="7"/>
      <c r="E21" s="7"/>
      <c r="F21" s="7"/>
      <c r="G21" s="18" t="s">
        <v>15</v>
      </c>
      <c r="H21" s="4">
        <f>SUM(D7:D10)</f>
        <v>87.279999999999987</v>
      </c>
      <c r="I21" s="4">
        <f>SUM(G7:G10)</f>
        <v>92.09</v>
      </c>
      <c r="J21" s="19">
        <f>SUM(H21:I21)</f>
        <v>179.37</v>
      </c>
      <c r="K21" s="7"/>
      <c r="L21" s="7"/>
      <c r="M21" s="7"/>
      <c r="O21" s="1" t="s">
        <v>58</v>
      </c>
      <c r="P21" s="1" t="s">
        <v>59</v>
      </c>
      <c r="AB21" s="1" t="s">
        <v>81</v>
      </c>
      <c r="AC21" s="41">
        <f>I23/4</f>
        <v>24.67</v>
      </c>
      <c r="AD21" s="1" t="s">
        <v>82</v>
      </c>
      <c r="AF21" s="8" t="s">
        <v>81</v>
      </c>
      <c r="AG21" s="43">
        <f>I23/4</f>
        <v>24.67</v>
      </c>
      <c r="AH21" s="8" t="s">
        <v>82</v>
      </c>
    </row>
    <row r="22" spans="2:34" x14ac:dyDescent="0.25">
      <c r="C22" s="7"/>
      <c r="D22" s="7"/>
      <c r="E22" s="7"/>
      <c r="F22" s="7"/>
      <c r="G22" s="18" t="s">
        <v>16</v>
      </c>
      <c r="H22" s="4">
        <f>SUM(E7:E10)</f>
        <v>92.09</v>
      </c>
      <c r="I22" s="4">
        <f>SUM(H7:H10)</f>
        <v>100.55000000000001</v>
      </c>
      <c r="J22" s="19">
        <f t="shared" ref="J22:J23" si="5">SUM(H22:I22)</f>
        <v>192.64000000000001</v>
      </c>
      <c r="K22" s="7"/>
      <c r="L22" s="7"/>
      <c r="M22" s="7"/>
      <c r="O22" s="1" t="s">
        <v>60</v>
      </c>
      <c r="P22" s="1" t="s">
        <v>61</v>
      </c>
      <c r="AB22" s="23" t="s">
        <v>72</v>
      </c>
      <c r="AC22" s="44">
        <f>Y13*Z13</f>
        <v>0.48722451773108155</v>
      </c>
      <c r="AD22" s="23"/>
      <c r="AF22" s="23" t="s">
        <v>73</v>
      </c>
      <c r="AG22" s="44">
        <f>X13*Z13</f>
        <v>0.34254850915268215</v>
      </c>
      <c r="AH22" s="23"/>
    </row>
    <row r="23" spans="2:34" ht="16.5" thickBot="1" x14ac:dyDescent="0.3">
      <c r="C23" s="7"/>
      <c r="D23" s="7"/>
      <c r="E23" s="7"/>
      <c r="F23" s="7"/>
      <c r="G23" s="24" t="s">
        <v>17</v>
      </c>
      <c r="H23" s="25">
        <f>SUM(F7:F10)</f>
        <v>89.639999999999986</v>
      </c>
      <c r="I23" s="25">
        <f>SUM(I7:I10)</f>
        <v>98.68</v>
      </c>
      <c r="J23" s="26">
        <f t="shared" si="5"/>
        <v>188.32</v>
      </c>
      <c r="K23" s="7"/>
      <c r="L23" s="7"/>
      <c r="M23" s="7"/>
    </row>
    <row r="24" spans="2:34" x14ac:dyDescent="0.25">
      <c r="B24" s="72"/>
      <c r="C24" s="72"/>
      <c r="D24" s="72"/>
      <c r="E24" s="72"/>
      <c r="F24" s="72"/>
    </row>
    <row r="25" spans="2:34" x14ac:dyDescent="0.25">
      <c r="B25" s="72"/>
      <c r="C25" s="72"/>
      <c r="D25" s="72"/>
      <c r="E25" s="72"/>
      <c r="F25" s="72"/>
      <c r="G25" s="72"/>
      <c r="H25" s="72"/>
      <c r="I25" s="72"/>
    </row>
    <row r="26" spans="2:34" x14ac:dyDescent="0.25">
      <c r="B26" s="72"/>
      <c r="C26" s="72"/>
      <c r="D26" s="72"/>
      <c r="E26" s="72"/>
      <c r="F26" s="72"/>
      <c r="I26" s="72"/>
    </row>
    <row r="42" spans="6:13" x14ac:dyDescent="0.25">
      <c r="F42" s="31"/>
      <c r="G42" s="32"/>
      <c r="H42" s="31"/>
      <c r="I42" s="31"/>
      <c r="J42" s="31"/>
      <c r="K42" s="31"/>
      <c r="L42" s="33"/>
      <c r="M42" s="7"/>
    </row>
    <row r="43" spans="6:13" x14ac:dyDescent="0.25">
      <c r="F43" s="31"/>
      <c r="G43" s="32"/>
      <c r="H43" s="7"/>
      <c r="I43" s="7"/>
      <c r="J43" s="7"/>
      <c r="K43" s="7"/>
      <c r="L43" s="7"/>
      <c r="M43" s="7"/>
    </row>
    <row r="44" spans="6:13" x14ac:dyDescent="0.25">
      <c r="F44" s="31"/>
      <c r="G44" s="7"/>
      <c r="H44" s="7"/>
      <c r="I44" s="7"/>
      <c r="J44" s="7"/>
      <c r="K44" s="7"/>
      <c r="L44" s="7"/>
    </row>
    <row r="45" spans="6:13" x14ac:dyDescent="0.25">
      <c r="F45" s="31"/>
      <c r="G45" s="7"/>
      <c r="H45" s="7"/>
      <c r="I45" s="7"/>
      <c r="J45" s="7"/>
      <c r="K45" s="7"/>
      <c r="L45" s="7"/>
    </row>
    <row r="46" spans="6:13" x14ac:dyDescent="0.25">
      <c r="F46" s="31"/>
      <c r="G46" s="7"/>
      <c r="H46" s="7"/>
      <c r="I46" s="7"/>
      <c r="J46" s="7"/>
      <c r="K46" s="7"/>
      <c r="L46" s="7"/>
    </row>
    <row r="47" spans="6:13" x14ac:dyDescent="0.25">
      <c r="F47" s="7"/>
      <c r="G47" s="2"/>
      <c r="H47" s="34"/>
      <c r="I47" s="34"/>
      <c r="J47" s="34"/>
      <c r="K47" s="34"/>
      <c r="L47" s="34"/>
    </row>
    <row r="48" spans="6:13" x14ac:dyDescent="0.25">
      <c r="F48" s="31"/>
      <c r="G48" s="7"/>
      <c r="H48" s="2"/>
      <c r="I48" s="2"/>
      <c r="J48" s="2"/>
      <c r="K48" s="2"/>
    </row>
    <row r="49" spans="6:11" x14ac:dyDescent="0.25">
      <c r="F49" s="31"/>
      <c r="G49" s="7"/>
      <c r="H49" s="2"/>
      <c r="I49" s="2"/>
      <c r="J49" s="2"/>
      <c r="K49" s="2"/>
    </row>
    <row r="50" spans="6:11" x14ac:dyDescent="0.25">
      <c r="F50" s="31"/>
      <c r="G50" s="7"/>
      <c r="H50" s="2"/>
      <c r="I50" s="2"/>
      <c r="J50" s="2"/>
      <c r="K50" s="2"/>
    </row>
    <row r="51" spans="6:11" x14ac:dyDescent="0.25">
      <c r="F51" s="2"/>
    </row>
    <row r="52" spans="6:11" x14ac:dyDescent="0.25">
      <c r="F52" s="35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4:C6"/>
    <mergeCell ref="D4:F5"/>
    <mergeCell ref="G4:I5"/>
    <mergeCell ref="J4:J6"/>
    <mergeCell ref="C12:E12"/>
    <mergeCell ref="G12:J12"/>
    <mergeCell ref="X3:Y3"/>
    <mergeCell ref="AB3:AC3"/>
    <mergeCell ref="D1:G1"/>
    <mergeCell ref="D2:G2"/>
    <mergeCell ref="U3:V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26D14-08FE-48C5-A72B-84C45B7A74D4}">
  <dimension ref="B1:AH52"/>
  <sheetViews>
    <sheetView topLeftCell="P7" workbookViewId="0">
      <selection activeCell="AC16" sqref="AC16:AD22"/>
    </sheetView>
  </sheetViews>
  <sheetFormatPr defaultRowHeight="15.75" x14ac:dyDescent="0.25"/>
  <cols>
    <col min="1" max="1" width="9.140625" style="1"/>
    <col min="2" max="2" width="11.42578125" style="1" customWidth="1"/>
    <col min="3" max="4" width="9.140625" style="1"/>
    <col min="5" max="5" width="9.7109375" style="1" bestFit="1" customWidth="1"/>
    <col min="6" max="8" width="9.140625" style="1"/>
    <col min="9" max="9" width="9.140625" style="1" customWidth="1"/>
    <col min="10" max="11" width="9.140625" style="1"/>
    <col min="12" max="12" width="10.7109375" style="1" customWidth="1"/>
    <col min="13" max="13" width="10.140625" style="1" bestFit="1" customWidth="1"/>
    <col min="14" max="14" width="9.140625" style="1"/>
    <col min="15" max="15" width="19.28515625" style="1" customWidth="1"/>
    <col min="16" max="16" width="5.28515625" style="1" customWidth="1"/>
    <col min="17" max="17" width="13.7109375" style="1" customWidth="1"/>
    <col min="18" max="19" width="9.140625" style="1"/>
    <col min="20" max="20" width="3.28515625" style="1" customWidth="1"/>
    <col min="21" max="21" width="1.28515625" style="1" customWidth="1"/>
    <col min="22" max="26" width="9.140625" style="1"/>
    <col min="27" max="27" width="3.140625" style="1" customWidth="1"/>
    <col min="28" max="28" width="27.140625" style="1" customWidth="1"/>
    <col min="29" max="29" width="8.140625" style="1" customWidth="1"/>
    <col min="30" max="30" width="3.140625" style="1" customWidth="1"/>
    <col min="31" max="31" width="2.7109375" style="1" customWidth="1"/>
    <col min="32" max="32" width="28.28515625" style="1" customWidth="1"/>
    <col min="33" max="33" width="7.85546875" style="1" customWidth="1"/>
    <col min="34" max="34" width="3.140625" style="1" customWidth="1"/>
    <col min="35" max="16384" width="9.140625" style="1"/>
  </cols>
  <sheetData>
    <row r="1" spans="3:34" ht="22.5" x14ac:dyDescent="0.3">
      <c r="D1" s="80" t="s">
        <v>88</v>
      </c>
      <c r="E1" s="80"/>
      <c r="F1" s="80"/>
      <c r="G1" s="80"/>
    </row>
    <row r="2" spans="3:34" x14ac:dyDescent="0.25">
      <c r="D2" s="73" t="s">
        <v>64</v>
      </c>
      <c r="E2" s="73"/>
      <c r="F2" s="73"/>
      <c r="G2" s="73"/>
      <c r="O2" s="1" t="s">
        <v>1</v>
      </c>
    </row>
    <row r="3" spans="3:34" x14ac:dyDescent="0.25">
      <c r="O3" s="3"/>
      <c r="P3" s="3"/>
      <c r="Q3" s="3"/>
      <c r="R3" s="3"/>
      <c r="S3" s="3"/>
      <c r="T3" s="3"/>
      <c r="V3" s="71" t="s">
        <v>2</v>
      </c>
      <c r="W3" s="71"/>
      <c r="X3" s="71" t="s">
        <v>66</v>
      </c>
      <c r="Y3" s="71"/>
      <c r="AB3" s="72"/>
      <c r="AC3" s="72"/>
    </row>
    <row r="4" spans="3:34" ht="18" customHeight="1" x14ac:dyDescent="0.25">
      <c r="C4" s="74" t="s">
        <v>3</v>
      </c>
      <c r="D4" s="75" t="s">
        <v>4</v>
      </c>
      <c r="E4" s="75"/>
      <c r="F4" s="75"/>
      <c r="G4" s="75" t="s">
        <v>5</v>
      </c>
      <c r="H4" s="75"/>
      <c r="I4" s="76"/>
      <c r="J4" s="77" t="s">
        <v>6</v>
      </c>
      <c r="K4" s="7">
        <v>4</v>
      </c>
      <c r="L4" s="7" t="s">
        <v>7</v>
      </c>
      <c r="M4" s="7">
        <f>SUMSQ(D7:I10)</f>
        <v>32564.017000000007</v>
      </c>
      <c r="O4" s="8" t="s">
        <v>8</v>
      </c>
      <c r="P4" s="9" t="s">
        <v>9</v>
      </c>
      <c r="Q4" s="8" t="s">
        <v>10</v>
      </c>
      <c r="R4" s="8" t="s">
        <v>11</v>
      </c>
      <c r="S4" s="8" t="s">
        <v>12</v>
      </c>
      <c r="T4" s="8"/>
      <c r="V4" s="10">
        <v>0.05</v>
      </c>
      <c r="W4" s="10">
        <v>0.01</v>
      </c>
      <c r="X4" s="37">
        <v>0.05</v>
      </c>
      <c r="Y4" s="37">
        <v>0.01</v>
      </c>
      <c r="Z4" s="38" t="s">
        <v>65</v>
      </c>
      <c r="AA4" s="38"/>
      <c r="AB4" s="40" t="s">
        <v>68</v>
      </c>
      <c r="AC4" s="40"/>
      <c r="AD4" s="23"/>
      <c r="AF4" s="40" t="s">
        <v>68</v>
      </c>
      <c r="AG4" s="40"/>
      <c r="AH4" s="23"/>
    </row>
    <row r="5" spans="3:34" x14ac:dyDescent="0.25">
      <c r="C5" s="74"/>
      <c r="D5" s="75"/>
      <c r="E5" s="75"/>
      <c r="F5" s="75"/>
      <c r="G5" s="75"/>
      <c r="H5" s="75"/>
      <c r="I5" s="76"/>
      <c r="J5" s="77"/>
      <c r="K5" s="7">
        <v>5</v>
      </c>
      <c r="L5" s="7" t="s">
        <v>13</v>
      </c>
      <c r="M5" s="7">
        <f>(J11^2)/24</f>
        <v>32478.212266666673</v>
      </c>
      <c r="O5" s="1" t="s">
        <v>14</v>
      </c>
      <c r="T5" s="11"/>
      <c r="AB5" s="3" t="s">
        <v>83</v>
      </c>
      <c r="AC5" s="42">
        <f>D18/12</f>
        <v>35.042499999999997</v>
      </c>
      <c r="AD5" s="3" t="s">
        <v>69</v>
      </c>
      <c r="AF5" s="3" t="s">
        <v>83</v>
      </c>
      <c r="AG5" s="42">
        <f>D18/12</f>
        <v>35.042499999999997</v>
      </c>
      <c r="AH5" s="3" t="s">
        <v>69</v>
      </c>
    </row>
    <row r="6" spans="3:34" x14ac:dyDescent="0.25">
      <c r="C6" s="74"/>
      <c r="D6" s="4" t="s">
        <v>15</v>
      </c>
      <c r="E6" s="4" t="s">
        <v>16</v>
      </c>
      <c r="F6" s="4" t="s">
        <v>17</v>
      </c>
      <c r="G6" s="4" t="s">
        <v>15</v>
      </c>
      <c r="H6" s="4" t="s">
        <v>16</v>
      </c>
      <c r="I6" s="5" t="s">
        <v>17</v>
      </c>
      <c r="J6" s="77"/>
      <c r="K6" s="7">
        <v>6</v>
      </c>
      <c r="L6" s="7" t="s">
        <v>18</v>
      </c>
      <c r="M6" s="12">
        <f>SUMSQ(D7:I10)-M5</f>
        <v>85.804733333334298</v>
      </c>
      <c r="N6" s="2"/>
      <c r="O6" s="13" t="s">
        <v>19</v>
      </c>
      <c r="P6" s="2">
        <v>3</v>
      </c>
      <c r="Q6" s="1">
        <f>M10</f>
        <v>0.19323333333159098</v>
      </c>
      <c r="R6" s="1">
        <f>Q6/P6</f>
        <v>6.4411111110530328E-2</v>
      </c>
      <c r="T6" s="11"/>
      <c r="AB6" s="8" t="s">
        <v>84</v>
      </c>
      <c r="AC6" s="43">
        <f>E18/12</f>
        <v>38.530833333333334</v>
      </c>
      <c r="AD6" s="8" t="s">
        <v>71</v>
      </c>
      <c r="AF6" s="8" t="s">
        <v>84</v>
      </c>
      <c r="AG6" s="43">
        <f>E18/12</f>
        <v>38.530833333333334</v>
      </c>
      <c r="AH6" s="8" t="s">
        <v>71</v>
      </c>
    </row>
    <row r="7" spans="3:34" x14ac:dyDescent="0.25">
      <c r="C7" s="4" t="s">
        <v>20</v>
      </c>
      <c r="D7" s="4">
        <v>33.93</v>
      </c>
      <c r="E7" s="4">
        <v>35.93</v>
      </c>
      <c r="F7" s="4">
        <v>35.29</v>
      </c>
      <c r="G7" s="4">
        <v>37.5</v>
      </c>
      <c r="H7" s="4">
        <v>39</v>
      </c>
      <c r="I7" s="5">
        <v>38.15</v>
      </c>
      <c r="J7" s="6">
        <f>SUM(D7:I7)</f>
        <v>219.8</v>
      </c>
      <c r="K7" s="7">
        <v>7</v>
      </c>
      <c r="L7" s="7" t="s">
        <v>21</v>
      </c>
      <c r="M7" s="7">
        <f>(SUMSQ(D14:E17)/3)-M5</f>
        <v>73.489866666666785</v>
      </c>
      <c r="O7" s="13" t="s">
        <v>22</v>
      </c>
      <c r="P7" s="2">
        <v>1</v>
      </c>
      <c r="Q7" s="1">
        <f>M11</f>
        <v>73.010816666661412</v>
      </c>
      <c r="R7" s="1">
        <f>Q7/P7</f>
        <v>73.010816666661412</v>
      </c>
      <c r="S7" s="1">
        <f>R7/R8</f>
        <v>766.33897018321227</v>
      </c>
      <c r="T7" s="14" t="str">
        <f>IF(S7&lt;V7,"tn",IF(S7&lt;W7,"*","**"))</f>
        <v>**</v>
      </c>
      <c r="U7" s="2"/>
      <c r="V7" s="1">
        <f>FINV(0.05,P7,P8)</f>
        <v>10.127964486013932</v>
      </c>
      <c r="W7" s="1">
        <f>FINV(0.01,P7,P8)</f>
        <v>34.116221564529795</v>
      </c>
      <c r="AB7" s="8" t="s">
        <v>67</v>
      </c>
      <c r="AC7" s="43">
        <f>Y8*Z8</f>
        <v>0.90144733306096625</v>
      </c>
      <c r="AD7" s="8"/>
      <c r="AF7" s="8" t="s">
        <v>75</v>
      </c>
      <c r="AG7" s="43">
        <f>X8*Z8</f>
        <v>0.49108122133196275</v>
      </c>
      <c r="AH7" s="8"/>
    </row>
    <row r="8" spans="3:34" x14ac:dyDescent="0.25">
      <c r="C8" s="4" t="s">
        <v>23</v>
      </c>
      <c r="D8" s="4">
        <v>33.6</v>
      </c>
      <c r="E8" s="4">
        <v>35.9</v>
      </c>
      <c r="F8" s="4">
        <v>35.67</v>
      </c>
      <c r="G8" s="4">
        <v>38.6</v>
      </c>
      <c r="H8" s="4">
        <v>39.200000000000003</v>
      </c>
      <c r="I8" s="5">
        <v>38.200000000000003</v>
      </c>
      <c r="J8" s="6">
        <f t="shared" ref="J8:J10" si="0">SUM(D8:I8)</f>
        <v>221.17000000000002</v>
      </c>
      <c r="K8" s="7">
        <v>8</v>
      </c>
      <c r="L8" s="7" t="s">
        <v>24</v>
      </c>
      <c r="M8" s="7">
        <f>(SUMSQ(H14:J17)/2)-M5</f>
        <v>9.8746333333292569</v>
      </c>
      <c r="O8" s="15" t="s">
        <v>25</v>
      </c>
      <c r="P8" s="9">
        <v>3</v>
      </c>
      <c r="Q8" s="8">
        <f>M13</f>
        <v>0.28581666667378158</v>
      </c>
      <c r="R8" s="8">
        <f>Q8/P8</f>
        <v>9.5272222224593861E-2</v>
      </c>
      <c r="S8" s="8"/>
      <c r="T8" s="16"/>
      <c r="U8" s="2"/>
      <c r="V8" s="8"/>
      <c r="W8" s="8"/>
      <c r="X8" s="1">
        <v>3.1819999999999999</v>
      </c>
      <c r="Y8" s="1">
        <v>5.8410000000000002</v>
      </c>
      <c r="Z8" s="1">
        <f>SQRT(R8/4)</f>
        <v>0.15433099350470231</v>
      </c>
      <c r="AC8" s="41"/>
      <c r="AG8" s="41"/>
    </row>
    <row r="9" spans="3:34" x14ac:dyDescent="0.25">
      <c r="C9" s="4" t="s">
        <v>26</v>
      </c>
      <c r="D9" s="4">
        <v>33.799999999999997</v>
      </c>
      <c r="E9" s="4">
        <v>35.770000000000003</v>
      </c>
      <c r="F9" s="4">
        <v>35.770000000000003</v>
      </c>
      <c r="G9" s="4">
        <v>37.950000000000003</v>
      </c>
      <c r="H9" s="4">
        <v>39.200000000000003</v>
      </c>
      <c r="I9" s="5">
        <v>38.47</v>
      </c>
      <c r="J9" s="6">
        <f t="shared" si="0"/>
        <v>220.96</v>
      </c>
      <c r="K9" s="7">
        <v>9</v>
      </c>
      <c r="L9" s="7" t="s">
        <v>27</v>
      </c>
      <c r="M9" s="7">
        <f>(SUMSQ(H21:I23)/4)-M5</f>
        <v>84.607283333330997</v>
      </c>
      <c r="O9" s="1" t="s">
        <v>28</v>
      </c>
      <c r="P9" s="2"/>
      <c r="T9" s="14"/>
      <c r="U9" s="2"/>
      <c r="AB9" s="3" t="s">
        <v>85</v>
      </c>
      <c r="AC9" s="42">
        <f>H18/8</f>
        <v>35.966250000000002</v>
      </c>
      <c r="AD9" s="3" t="s">
        <v>69</v>
      </c>
      <c r="AF9" s="3" t="s">
        <v>85</v>
      </c>
      <c r="AG9" s="42">
        <f>H18/8</f>
        <v>35.966250000000002</v>
      </c>
      <c r="AH9" s="3" t="s">
        <v>69</v>
      </c>
    </row>
    <row r="10" spans="3:34" x14ac:dyDescent="0.25">
      <c r="C10" s="4" t="s">
        <v>29</v>
      </c>
      <c r="D10" s="4">
        <v>33.950000000000003</v>
      </c>
      <c r="E10" s="4">
        <v>35.700000000000003</v>
      </c>
      <c r="F10" s="4">
        <v>35.200000000000003</v>
      </c>
      <c r="G10" s="4">
        <v>38.4</v>
      </c>
      <c r="H10" s="4">
        <v>39.200000000000003</v>
      </c>
      <c r="I10" s="5">
        <v>38.5</v>
      </c>
      <c r="J10" s="6">
        <f t="shared" si="0"/>
        <v>220.95</v>
      </c>
      <c r="K10" s="7">
        <v>10</v>
      </c>
      <c r="L10" s="7" t="s">
        <v>30</v>
      </c>
      <c r="M10" s="7">
        <f>(SUMSQ(J7:J10)/6)-M5</f>
        <v>0.19323333333159098</v>
      </c>
      <c r="O10" s="13" t="s">
        <v>31</v>
      </c>
      <c r="P10" s="2">
        <v>2</v>
      </c>
      <c r="Q10" s="1">
        <f>M12</f>
        <v>9.4284083333295712</v>
      </c>
      <c r="R10" s="1">
        <f t="shared" ref="R10:R13" si="1">Q10/P10</f>
        <v>4.7142041666647856</v>
      </c>
      <c r="S10" s="1">
        <f>R10/R11</f>
        <v>111.8029908751766</v>
      </c>
      <c r="T10" s="14" t="str">
        <f>IF(S10&lt;V10,"tn",IF(S10&lt;W10,"*","**"))</f>
        <v>**</v>
      </c>
      <c r="U10" s="2"/>
      <c r="V10" s="1">
        <f>FINV(0.05,P10,P11)</f>
        <v>5.1432528497847176</v>
      </c>
      <c r="W10" s="1">
        <f>FINV(0.01,P10,P11)</f>
        <v>10.924766500838338</v>
      </c>
      <c r="AB10" s="1" t="s">
        <v>86</v>
      </c>
      <c r="AC10" s="41">
        <f>I18/8</f>
        <v>37.487499999999997</v>
      </c>
      <c r="AD10" s="1" t="s">
        <v>71</v>
      </c>
      <c r="AF10" s="1" t="s">
        <v>86</v>
      </c>
      <c r="AG10" s="41">
        <f>I18/8</f>
        <v>37.487499999999997</v>
      </c>
      <c r="AH10" s="1" t="s">
        <v>74</v>
      </c>
    </row>
    <row r="11" spans="3:34" x14ac:dyDescent="0.25">
      <c r="C11" s="7"/>
      <c r="D11" s="7"/>
      <c r="E11" s="7"/>
      <c r="F11" s="7"/>
      <c r="G11" s="7"/>
      <c r="H11" s="7"/>
      <c r="I11" s="7"/>
      <c r="J11" s="17">
        <f>SUM(J7:J10)</f>
        <v>882.88000000000011</v>
      </c>
      <c r="K11" s="7">
        <v>11</v>
      </c>
      <c r="L11" s="7" t="s">
        <v>32</v>
      </c>
      <c r="M11" s="7">
        <f>(SUMSQ(D18:E18)/12)-M5</f>
        <v>73.010816666661412</v>
      </c>
      <c r="O11" s="13" t="s">
        <v>33</v>
      </c>
      <c r="P11" s="2">
        <v>6</v>
      </c>
      <c r="Q11" s="1">
        <f>M14</f>
        <v>0.25299166666809469</v>
      </c>
      <c r="R11" s="1">
        <f t="shared" si="1"/>
        <v>4.2165277778015785E-2</v>
      </c>
      <c r="T11" s="14"/>
      <c r="U11" s="2"/>
      <c r="X11" s="1">
        <v>4.3029999999999999</v>
      </c>
      <c r="Y11" s="1">
        <v>9.9250000000000007</v>
      </c>
      <c r="Z11" s="1">
        <f>SQRT(R11/4)</f>
        <v>0.10267092794215871</v>
      </c>
      <c r="AB11" s="8" t="s">
        <v>87</v>
      </c>
      <c r="AC11" s="43">
        <f>J18/8</f>
        <v>36.90625</v>
      </c>
      <c r="AD11" s="8" t="s">
        <v>71</v>
      </c>
      <c r="AF11" s="8" t="s">
        <v>87</v>
      </c>
      <c r="AG11" s="43">
        <f>J18/8</f>
        <v>36.90625</v>
      </c>
      <c r="AH11" s="8" t="s">
        <v>71</v>
      </c>
    </row>
    <row r="12" spans="3:34" x14ac:dyDescent="0.25">
      <c r="C12" s="75" t="s">
        <v>34</v>
      </c>
      <c r="D12" s="75"/>
      <c r="E12" s="75"/>
      <c r="F12" s="7"/>
      <c r="G12" s="76" t="s">
        <v>35</v>
      </c>
      <c r="H12" s="78"/>
      <c r="I12" s="78"/>
      <c r="J12" s="79"/>
      <c r="K12" s="7">
        <v>12</v>
      </c>
      <c r="L12" s="7" t="s">
        <v>36</v>
      </c>
      <c r="M12" s="7">
        <f>(SUMSQ(J21:J23)/8)-M5</f>
        <v>9.4284083333295712</v>
      </c>
      <c r="O12" s="13" t="s">
        <v>37</v>
      </c>
      <c r="P12" s="2">
        <v>2</v>
      </c>
      <c r="Q12" s="1">
        <f>M15</f>
        <v>2.1680583333400136</v>
      </c>
      <c r="R12" s="1">
        <f t="shared" si="1"/>
        <v>1.0840291666700068</v>
      </c>
      <c r="S12" s="1">
        <f>R12/R13</f>
        <v>23.292001647545909</v>
      </c>
      <c r="T12" s="14" t="str">
        <f>IF(S12&lt;V12,"tn",IF(S12&lt;W12,"*","**"))</f>
        <v>**</v>
      </c>
      <c r="U12" s="2"/>
      <c r="V12" s="1">
        <f>FINV(0.05,P12,P13)</f>
        <v>4.1028210151304032</v>
      </c>
      <c r="W12" s="1">
        <f>FINV(0.01,P12,P13)</f>
        <v>7.5594321575479011</v>
      </c>
      <c r="AB12" s="23" t="s">
        <v>72</v>
      </c>
      <c r="AC12" s="44">
        <f>Y11*Z11</f>
        <v>1.0190089598259253</v>
      </c>
      <c r="AD12" s="23"/>
      <c r="AF12" s="23" t="s">
        <v>73</v>
      </c>
      <c r="AG12" s="44">
        <f>X11*Z11</f>
        <v>0.44179300293510892</v>
      </c>
      <c r="AH12" s="23"/>
    </row>
    <row r="13" spans="3:34" x14ac:dyDescent="0.25">
      <c r="C13" s="18" t="s">
        <v>38</v>
      </c>
      <c r="D13" s="4" t="s">
        <v>39</v>
      </c>
      <c r="E13" s="19" t="s">
        <v>40</v>
      </c>
      <c r="F13" s="7"/>
      <c r="G13" s="4" t="s">
        <v>41</v>
      </c>
      <c r="H13" s="4" t="s">
        <v>42</v>
      </c>
      <c r="I13" s="4" t="s">
        <v>43</v>
      </c>
      <c r="J13" s="4" t="s">
        <v>44</v>
      </c>
      <c r="K13" s="7">
        <v>13</v>
      </c>
      <c r="L13" s="7" t="s">
        <v>45</v>
      </c>
      <c r="M13" s="7">
        <f>M7-M10-M11</f>
        <v>0.28581666667378158</v>
      </c>
      <c r="O13" s="15" t="s">
        <v>46</v>
      </c>
      <c r="P13" s="9">
        <v>10</v>
      </c>
      <c r="Q13" s="20">
        <f>M16</f>
        <v>0.46540833332983311</v>
      </c>
      <c r="R13" s="8">
        <f t="shared" si="1"/>
        <v>4.6540833332983311E-2</v>
      </c>
      <c r="S13" s="8"/>
      <c r="T13" s="21"/>
      <c r="V13" s="8"/>
      <c r="W13" s="8"/>
      <c r="X13" s="1">
        <v>2.2280000000000002</v>
      </c>
      <c r="Y13" s="1">
        <v>3.169</v>
      </c>
      <c r="Z13" s="1">
        <f>SQRT(R13/5)</f>
        <v>9.6478840512294009E-2</v>
      </c>
    </row>
    <row r="14" spans="3:34" x14ac:dyDescent="0.25">
      <c r="C14" s="18" t="s">
        <v>20</v>
      </c>
      <c r="D14" s="4">
        <f>SUM(D7:F7)</f>
        <v>105.15</v>
      </c>
      <c r="E14" s="19">
        <f>SUM(G7:I7)</f>
        <v>114.65</v>
      </c>
      <c r="F14" s="7"/>
      <c r="G14" s="4" t="s">
        <v>20</v>
      </c>
      <c r="H14" s="4">
        <f>D7+G7</f>
        <v>71.430000000000007</v>
      </c>
      <c r="I14" s="4">
        <f>E7+H7</f>
        <v>74.930000000000007</v>
      </c>
      <c r="J14" s="4">
        <f>F7+I7</f>
        <v>73.44</v>
      </c>
      <c r="K14" s="7">
        <v>14</v>
      </c>
      <c r="L14" s="7" t="s">
        <v>47</v>
      </c>
      <c r="M14" s="7">
        <f>M8-M10-M12</f>
        <v>0.25299166666809469</v>
      </c>
      <c r="O14" s="22" t="s">
        <v>6</v>
      </c>
      <c r="P14" s="23"/>
      <c r="Q14" s="23">
        <f>SUM(Q6:Q13)</f>
        <v>85.804733333334298</v>
      </c>
      <c r="R14" s="23"/>
      <c r="S14" s="23"/>
      <c r="T14" s="23"/>
      <c r="V14" s="23"/>
      <c r="W14" s="23"/>
      <c r="AB14" s="36" t="s">
        <v>54</v>
      </c>
      <c r="AF14" s="36" t="s">
        <v>54</v>
      </c>
    </row>
    <row r="15" spans="3:34" x14ac:dyDescent="0.25">
      <c r="C15" s="18" t="s">
        <v>23</v>
      </c>
      <c r="D15" s="4">
        <f>SUM(D8:F8)</f>
        <v>105.17</v>
      </c>
      <c r="E15" s="19">
        <f t="shared" ref="E15:E17" si="2">SUM(G8:I8)</f>
        <v>116.00000000000001</v>
      </c>
      <c r="F15" s="7"/>
      <c r="G15" s="4" t="s">
        <v>23</v>
      </c>
      <c r="H15" s="4">
        <f t="shared" ref="H15:J17" si="3">D8+G8</f>
        <v>72.2</v>
      </c>
      <c r="I15" s="4">
        <f t="shared" si="3"/>
        <v>75.099999999999994</v>
      </c>
      <c r="J15" s="4">
        <f t="shared" si="3"/>
        <v>73.87</v>
      </c>
      <c r="K15" s="7">
        <v>15</v>
      </c>
      <c r="L15" s="7" t="s">
        <v>48</v>
      </c>
      <c r="M15" s="7">
        <f>M9-M11-M12</f>
        <v>2.1680583333400136</v>
      </c>
      <c r="O15" s="13" t="s">
        <v>49</v>
      </c>
      <c r="Q15" s="1">
        <f>M5</f>
        <v>32478.212266666673</v>
      </c>
      <c r="AB15" s="23" t="s">
        <v>68</v>
      </c>
      <c r="AC15" s="23"/>
      <c r="AD15" s="23"/>
      <c r="AF15" s="23" t="s">
        <v>68</v>
      </c>
      <c r="AG15" s="23"/>
      <c r="AH15" s="23"/>
    </row>
    <row r="16" spans="3:34" x14ac:dyDescent="0.25">
      <c r="C16" s="18" t="s">
        <v>26</v>
      </c>
      <c r="D16" s="4">
        <f>SUM(D9:F9)</f>
        <v>105.34</v>
      </c>
      <c r="E16" s="19">
        <f t="shared" si="2"/>
        <v>115.62</v>
      </c>
      <c r="F16" s="7"/>
      <c r="G16" s="4" t="s">
        <v>26</v>
      </c>
      <c r="H16" s="4">
        <f t="shared" si="3"/>
        <v>71.75</v>
      </c>
      <c r="I16" s="4">
        <f t="shared" si="3"/>
        <v>74.97</v>
      </c>
      <c r="J16" s="4">
        <f t="shared" si="3"/>
        <v>74.240000000000009</v>
      </c>
      <c r="K16" s="7">
        <v>16</v>
      </c>
      <c r="L16" s="7" t="s">
        <v>50</v>
      </c>
      <c r="M16" s="12">
        <f>M6-M10-M11-M12-M13-M14-M15</f>
        <v>0.46540833332983311</v>
      </c>
      <c r="O16" s="1" t="s">
        <v>51</v>
      </c>
      <c r="AB16" s="3" t="s">
        <v>76</v>
      </c>
      <c r="AC16" s="42">
        <f>H21/4</f>
        <v>33.82</v>
      </c>
      <c r="AD16" s="1" t="s">
        <v>69</v>
      </c>
      <c r="AF16" s="3" t="s">
        <v>76</v>
      </c>
      <c r="AG16" s="42">
        <f>H21/4</f>
        <v>33.82</v>
      </c>
      <c r="AH16" s="3" t="s">
        <v>69</v>
      </c>
    </row>
    <row r="17" spans="2:34" x14ac:dyDescent="0.25">
      <c r="C17" s="18" t="s">
        <v>29</v>
      </c>
      <c r="D17" s="4">
        <f>SUM(D10:F10)</f>
        <v>104.85000000000001</v>
      </c>
      <c r="E17" s="19">
        <f t="shared" si="2"/>
        <v>116.1</v>
      </c>
      <c r="F17" s="7"/>
      <c r="G17" s="4" t="s">
        <v>29</v>
      </c>
      <c r="H17" s="4">
        <f t="shared" si="3"/>
        <v>72.349999999999994</v>
      </c>
      <c r="I17" s="4">
        <f t="shared" si="3"/>
        <v>74.900000000000006</v>
      </c>
      <c r="J17" s="4">
        <f t="shared" si="3"/>
        <v>73.7</v>
      </c>
      <c r="K17" s="7"/>
      <c r="L17" s="7"/>
      <c r="M17" s="7"/>
      <c r="O17" s="1" t="s">
        <v>52</v>
      </c>
      <c r="AB17" s="1" t="s">
        <v>77</v>
      </c>
      <c r="AC17" s="41">
        <f>H22/4</f>
        <v>35.825000000000003</v>
      </c>
      <c r="AD17" s="1" t="s">
        <v>74</v>
      </c>
      <c r="AF17" s="1" t="s">
        <v>77</v>
      </c>
      <c r="AG17" s="41">
        <f>H22/4</f>
        <v>35.825000000000003</v>
      </c>
      <c r="AH17" s="1" t="s">
        <v>74</v>
      </c>
    </row>
    <row r="18" spans="2:34" ht="16.5" thickBot="1" x14ac:dyDescent="0.3">
      <c r="C18" s="24"/>
      <c r="D18" s="25">
        <f>SUM(D14:D17)</f>
        <v>420.51</v>
      </c>
      <c r="E18" s="26">
        <f>SUM(E14:E17)</f>
        <v>462.37</v>
      </c>
      <c r="F18" s="7"/>
      <c r="G18" s="7"/>
      <c r="H18" s="7">
        <f>SUM(H14:H17)</f>
        <v>287.73</v>
      </c>
      <c r="I18" s="7">
        <f t="shared" ref="I18:J18" si="4">SUM(I14:I17)</f>
        <v>299.89999999999998</v>
      </c>
      <c r="J18" s="7">
        <f t="shared" si="4"/>
        <v>295.25</v>
      </c>
      <c r="K18" s="7"/>
      <c r="L18" s="7"/>
      <c r="M18" s="7"/>
      <c r="O18" s="1" t="s">
        <v>53</v>
      </c>
      <c r="AB18" s="1" t="s">
        <v>78</v>
      </c>
      <c r="AC18" s="41">
        <f>H23/4</f>
        <v>35.482500000000002</v>
      </c>
      <c r="AD18" s="1" t="s">
        <v>71</v>
      </c>
      <c r="AF18" s="1" t="s">
        <v>78</v>
      </c>
      <c r="AG18" s="41">
        <f>H23/4</f>
        <v>35.482500000000002</v>
      </c>
      <c r="AH18" s="1" t="s">
        <v>71</v>
      </c>
    </row>
    <row r="19" spans="2:34" ht="16.5" thickBot="1" x14ac:dyDescent="0.3">
      <c r="C19" s="7"/>
      <c r="D19" s="7"/>
      <c r="E19" s="7"/>
      <c r="F19" s="7"/>
      <c r="G19" s="7"/>
      <c r="H19" s="27" t="s">
        <v>54</v>
      </c>
      <c r="I19" s="7"/>
      <c r="J19" s="7"/>
      <c r="K19" s="7"/>
      <c r="L19" s="7"/>
      <c r="M19" s="7"/>
      <c r="O19" s="1" t="s">
        <v>55</v>
      </c>
      <c r="AB19" s="1" t="s">
        <v>79</v>
      </c>
      <c r="AC19" s="41">
        <f>I21/4</f>
        <v>38.112499999999997</v>
      </c>
      <c r="AD19" s="1" t="s">
        <v>82</v>
      </c>
      <c r="AF19" s="1" t="s">
        <v>79</v>
      </c>
      <c r="AG19" s="41">
        <f>I21/4</f>
        <v>38.112499999999997</v>
      </c>
      <c r="AH19" s="1" t="s">
        <v>82</v>
      </c>
    </row>
    <row r="20" spans="2:34" x14ac:dyDescent="0.25">
      <c r="C20" s="7"/>
      <c r="D20" s="7"/>
      <c r="E20" s="7"/>
      <c r="F20" s="7"/>
      <c r="G20" s="28"/>
      <c r="H20" s="29" t="s">
        <v>4</v>
      </c>
      <c r="I20" s="29" t="s">
        <v>5</v>
      </c>
      <c r="J20" s="30"/>
      <c r="K20" s="7"/>
      <c r="L20" s="7"/>
      <c r="M20" s="7"/>
      <c r="O20" s="1" t="s">
        <v>56</v>
      </c>
      <c r="P20" s="1" t="s">
        <v>57</v>
      </c>
      <c r="AB20" s="1" t="s">
        <v>80</v>
      </c>
      <c r="AC20" s="41">
        <f>I22/4</f>
        <v>39.150000000000006</v>
      </c>
      <c r="AD20" s="1" t="s">
        <v>70</v>
      </c>
      <c r="AF20" s="1" t="s">
        <v>80</v>
      </c>
      <c r="AG20" s="41">
        <f>I22/4</f>
        <v>39.150000000000006</v>
      </c>
      <c r="AH20" s="1" t="s">
        <v>70</v>
      </c>
    </row>
    <row r="21" spans="2:34" x14ac:dyDescent="0.25">
      <c r="C21" s="7"/>
      <c r="D21" s="7"/>
      <c r="E21" s="7"/>
      <c r="F21" s="7"/>
      <c r="G21" s="18" t="s">
        <v>15</v>
      </c>
      <c r="H21" s="4">
        <f>SUM(D7:D10)</f>
        <v>135.28</v>
      </c>
      <c r="I21" s="4">
        <f>SUM(G7:G10)</f>
        <v>152.44999999999999</v>
      </c>
      <c r="J21" s="19">
        <f>SUM(H21:I21)</f>
        <v>287.73</v>
      </c>
      <c r="K21" s="7"/>
      <c r="L21" s="7"/>
      <c r="M21" s="7"/>
      <c r="O21" s="1" t="s">
        <v>58</v>
      </c>
      <c r="P21" s="1" t="s">
        <v>59</v>
      </c>
      <c r="AB21" s="1" t="s">
        <v>81</v>
      </c>
      <c r="AC21" s="41">
        <f>I23/4</f>
        <v>38.33</v>
      </c>
      <c r="AD21" s="1" t="s">
        <v>82</v>
      </c>
      <c r="AF21" s="8" t="s">
        <v>81</v>
      </c>
      <c r="AG21" s="43">
        <f>I23/4</f>
        <v>38.33</v>
      </c>
      <c r="AH21" s="8" t="s">
        <v>82</v>
      </c>
    </row>
    <row r="22" spans="2:34" x14ac:dyDescent="0.25">
      <c r="C22" s="7"/>
      <c r="D22" s="7"/>
      <c r="E22" s="7"/>
      <c r="F22" s="7"/>
      <c r="G22" s="18" t="s">
        <v>16</v>
      </c>
      <c r="H22" s="4">
        <f>SUM(E7:E10)</f>
        <v>143.30000000000001</v>
      </c>
      <c r="I22" s="4">
        <f>SUM(H7:H10)</f>
        <v>156.60000000000002</v>
      </c>
      <c r="J22" s="19">
        <f t="shared" ref="J22:J23" si="5">SUM(H22:I22)</f>
        <v>299.90000000000003</v>
      </c>
      <c r="K22" s="7"/>
      <c r="L22" s="7"/>
      <c r="M22" s="7"/>
      <c r="O22" s="1" t="s">
        <v>60</v>
      </c>
      <c r="P22" s="1" t="s">
        <v>61</v>
      </c>
      <c r="AB22" s="23" t="s">
        <v>72</v>
      </c>
      <c r="AC22" s="44">
        <f>Y13*Z13</f>
        <v>0.30574144558345973</v>
      </c>
      <c r="AD22" s="23"/>
      <c r="AF22" s="23" t="s">
        <v>73</v>
      </c>
      <c r="AG22" s="44">
        <f>X13*Z13</f>
        <v>0.21495485666139108</v>
      </c>
      <c r="AH22" s="23"/>
    </row>
    <row r="23" spans="2:34" ht="16.5" thickBot="1" x14ac:dyDescent="0.3">
      <c r="C23" s="7"/>
      <c r="D23" s="7"/>
      <c r="E23" s="7"/>
      <c r="F23" s="7"/>
      <c r="G23" s="24" t="s">
        <v>17</v>
      </c>
      <c r="H23" s="25">
        <f>SUM(F7:F10)</f>
        <v>141.93</v>
      </c>
      <c r="I23" s="25">
        <f>SUM(I7:I10)</f>
        <v>153.32</v>
      </c>
      <c r="J23" s="26">
        <f t="shared" si="5"/>
        <v>295.25</v>
      </c>
      <c r="K23" s="7"/>
      <c r="L23" s="7"/>
      <c r="M23" s="7"/>
    </row>
    <row r="24" spans="2:34" x14ac:dyDescent="0.25">
      <c r="B24" s="72"/>
      <c r="C24" s="72"/>
      <c r="D24" s="72"/>
      <c r="E24" s="72"/>
      <c r="F24" s="72"/>
    </row>
    <row r="25" spans="2:34" x14ac:dyDescent="0.25">
      <c r="B25" s="72"/>
      <c r="C25" s="72"/>
      <c r="D25" s="72"/>
      <c r="E25" s="72"/>
      <c r="F25" s="72"/>
      <c r="G25" s="72"/>
      <c r="H25" s="72"/>
      <c r="I25" s="72"/>
    </row>
    <row r="26" spans="2:34" x14ac:dyDescent="0.25">
      <c r="B26" s="72"/>
      <c r="C26" s="72"/>
      <c r="D26" s="72"/>
      <c r="E26" s="72"/>
      <c r="F26" s="72"/>
      <c r="I26" s="72"/>
    </row>
    <row r="42" spans="6:13" x14ac:dyDescent="0.25">
      <c r="F42" s="31"/>
      <c r="G42" s="32"/>
      <c r="H42" s="31"/>
      <c r="I42" s="31"/>
      <c r="J42" s="31"/>
      <c r="K42" s="31"/>
      <c r="L42" s="33"/>
      <c r="M42" s="7"/>
    </row>
    <row r="43" spans="6:13" x14ac:dyDescent="0.25">
      <c r="F43" s="31"/>
      <c r="G43" s="32"/>
      <c r="H43" s="7"/>
      <c r="I43" s="7"/>
      <c r="J43" s="7"/>
      <c r="K43" s="7"/>
      <c r="L43" s="7"/>
      <c r="M43" s="7"/>
    </row>
    <row r="44" spans="6:13" x14ac:dyDescent="0.25">
      <c r="F44" s="31"/>
      <c r="G44" s="7"/>
      <c r="H44" s="7"/>
      <c r="I44" s="7"/>
      <c r="J44" s="7"/>
      <c r="K44" s="7"/>
      <c r="L44" s="7"/>
    </row>
    <row r="45" spans="6:13" x14ac:dyDescent="0.25">
      <c r="F45" s="31"/>
      <c r="G45" s="7"/>
      <c r="H45" s="7"/>
      <c r="I45" s="7"/>
      <c r="J45" s="7"/>
      <c r="K45" s="7"/>
      <c r="L45" s="7"/>
    </row>
    <row r="46" spans="6:13" x14ac:dyDescent="0.25">
      <c r="F46" s="31"/>
      <c r="G46" s="7"/>
      <c r="H46" s="7"/>
      <c r="I46" s="7"/>
      <c r="J46" s="7"/>
      <c r="K46" s="7"/>
      <c r="L46" s="7"/>
    </row>
    <row r="47" spans="6:13" x14ac:dyDescent="0.25">
      <c r="F47" s="7"/>
      <c r="G47" s="2"/>
      <c r="H47" s="34"/>
      <c r="I47" s="34"/>
      <c r="J47" s="34"/>
      <c r="K47" s="34"/>
      <c r="L47" s="34"/>
    </row>
    <row r="48" spans="6:13" x14ac:dyDescent="0.25">
      <c r="F48" s="31"/>
      <c r="G48" s="7"/>
      <c r="H48" s="2"/>
      <c r="I48" s="2"/>
      <c r="J48" s="2"/>
      <c r="K48" s="2"/>
    </row>
    <row r="49" spans="6:11" x14ac:dyDescent="0.25">
      <c r="F49" s="31"/>
      <c r="G49" s="7"/>
      <c r="H49" s="2"/>
      <c r="I49" s="2"/>
      <c r="J49" s="2"/>
      <c r="K49" s="2"/>
    </row>
    <row r="50" spans="6:11" x14ac:dyDescent="0.25">
      <c r="F50" s="31"/>
      <c r="G50" s="7"/>
      <c r="H50" s="2"/>
      <c r="I50" s="2"/>
      <c r="J50" s="2"/>
      <c r="K50" s="2"/>
    </row>
    <row r="51" spans="6:11" x14ac:dyDescent="0.25">
      <c r="F51" s="2"/>
    </row>
    <row r="52" spans="6:11" x14ac:dyDescent="0.25">
      <c r="F52" s="35"/>
    </row>
  </sheetData>
  <mergeCells count="19">
    <mergeCell ref="G25:H25"/>
    <mergeCell ref="I25:I26"/>
    <mergeCell ref="B24:F24"/>
    <mergeCell ref="B25:B26"/>
    <mergeCell ref="C25:C26"/>
    <mergeCell ref="D25:D26"/>
    <mergeCell ref="E25:E26"/>
    <mergeCell ref="F25:F26"/>
    <mergeCell ref="C4:C6"/>
    <mergeCell ref="D4:F5"/>
    <mergeCell ref="G4:I5"/>
    <mergeCell ref="J4:J6"/>
    <mergeCell ref="C12:E12"/>
    <mergeCell ref="G12:J12"/>
    <mergeCell ref="X3:Y3"/>
    <mergeCell ref="AB3:AC3"/>
    <mergeCell ref="D1:G1"/>
    <mergeCell ref="D2:G2"/>
    <mergeCell ref="V3:W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9401-B931-430D-AD67-6947DF13CC01}">
  <dimension ref="B2:J12"/>
  <sheetViews>
    <sheetView workbookViewId="0">
      <selection activeCell="N16" sqref="N16"/>
    </sheetView>
  </sheetViews>
  <sheetFormatPr defaultRowHeight="15" x14ac:dyDescent="0.25"/>
  <cols>
    <col min="2" max="2" width="26.7109375" customWidth="1"/>
    <col min="4" max="4" width="2.7109375" customWidth="1"/>
    <col min="6" max="6" width="1.85546875" customWidth="1"/>
    <col min="7" max="7" width="10.140625" customWidth="1"/>
    <col min="8" max="8" width="2.42578125" customWidth="1"/>
    <col min="9" max="9" width="8.42578125" customWidth="1"/>
    <col min="10" max="10" width="2" customWidth="1"/>
  </cols>
  <sheetData>
    <row r="2" spans="2:10" x14ac:dyDescent="0.25">
      <c r="B2" s="81" t="s">
        <v>68</v>
      </c>
      <c r="C2" s="83" t="s">
        <v>89</v>
      </c>
      <c r="D2" s="83"/>
      <c r="E2" s="83"/>
      <c r="F2" s="83"/>
      <c r="G2" s="83"/>
      <c r="H2" s="83"/>
      <c r="I2" s="83"/>
      <c r="J2" s="84"/>
    </row>
    <row r="3" spans="2:10" x14ac:dyDescent="0.25">
      <c r="B3" s="82"/>
      <c r="C3" s="45" t="s">
        <v>90</v>
      </c>
      <c r="D3" s="46"/>
      <c r="E3" s="46" t="s">
        <v>91</v>
      </c>
      <c r="F3" s="46"/>
      <c r="G3" s="47" t="s">
        <v>92</v>
      </c>
      <c r="H3" s="47"/>
      <c r="I3" s="47" t="s">
        <v>93</v>
      </c>
      <c r="J3" s="48"/>
    </row>
    <row r="4" spans="2:10" x14ac:dyDescent="0.25">
      <c r="B4" s="49" t="s">
        <v>34</v>
      </c>
      <c r="C4" s="50"/>
      <c r="D4" s="50"/>
      <c r="E4" s="50"/>
      <c r="F4" s="50"/>
      <c r="G4" s="50"/>
      <c r="H4" s="50"/>
      <c r="I4" s="50"/>
      <c r="J4" s="51"/>
    </row>
    <row r="5" spans="2:10" x14ac:dyDescent="0.25">
      <c r="B5" s="52" t="s">
        <v>94</v>
      </c>
      <c r="C5" s="50">
        <v>4.7983333333333338</v>
      </c>
      <c r="D5" s="53" t="s">
        <v>69</v>
      </c>
      <c r="E5" s="53">
        <v>12.696666666666667</v>
      </c>
      <c r="F5" s="53" t="s">
        <v>69</v>
      </c>
      <c r="G5" s="50">
        <v>22.4175</v>
      </c>
      <c r="H5" s="50" t="s">
        <v>69</v>
      </c>
      <c r="I5" s="50">
        <v>35.042499999999997</v>
      </c>
      <c r="J5" s="51" t="s">
        <v>69</v>
      </c>
    </row>
    <row r="6" spans="2:10" ht="15.75" thickBot="1" x14ac:dyDescent="0.3">
      <c r="B6" s="52" t="s">
        <v>95</v>
      </c>
      <c r="C6" s="54">
        <v>5.439166666666666</v>
      </c>
      <c r="D6" s="54" t="s">
        <v>71</v>
      </c>
      <c r="E6" s="53">
        <v>17.424999999999997</v>
      </c>
      <c r="F6" s="53" t="s">
        <v>71</v>
      </c>
      <c r="G6" s="50">
        <v>24.276666666666667</v>
      </c>
      <c r="H6" s="50" t="s">
        <v>71</v>
      </c>
      <c r="I6" s="50">
        <v>38.530833333333334</v>
      </c>
      <c r="J6" s="51" t="s">
        <v>71</v>
      </c>
    </row>
    <row r="7" spans="2:10" ht="15.75" thickBot="1" x14ac:dyDescent="0.3">
      <c r="B7" s="55" t="s">
        <v>73</v>
      </c>
      <c r="C7" s="56">
        <v>0.12743182784775395</v>
      </c>
      <c r="D7" s="57"/>
      <c r="E7" s="57">
        <v>0.30697551459817191</v>
      </c>
      <c r="F7" s="57"/>
      <c r="G7" s="58">
        <v>0.62723828414312999</v>
      </c>
      <c r="H7" s="58"/>
      <c r="I7" s="58">
        <v>0.49108122133196275</v>
      </c>
      <c r="J7" s="59"/>
    </row>
    <row r="8" spans="2:10" ht="15.75" x14ac:dyDescent="0.25">
      <c r="B8" s="60" t="s">
        <v>96</v>
      </c>
      <c r="C8" s="54"/>
      <c r="D8" s="53"/>
      <c r="E8" s="53"/>
      <c r="F8" s="7"/>
      <c r="G8" s="50"/>
      <c r="H8" s="50"/>
      <c r="I8" s="7"/>
      <c r="J8" s="51"/>
    </row>
    <row r="9" spans="2:10" ht="15.75" x14ac:dyDescent="0.25">
      <c r="B9" s="52" t="s">
        <v>85</v>
      </c>
      <c r="C9" s="54">
        <v>4.6687500000000002</v>
      </c>
      <c r="D9" s="53" t="s">
        <v>69</v>
      </c>
      <c r="E9" s="53">
        <v>13.6775</v>
      </c>
      <c r="F9" s="7" t="s">
        <v>69</v>
      </c>
      <c r="G9" s="50">
        <v>22.421250000000001</v>
      </c>
      <c r="H9" s="50" t="s">
        <v>69</v>
      </c>
      <c r="I9" s="7">
        <v>35.966250000000002</v>
      </c>
      <c r="J9" s="51" t="s">
        <v>69</v>
      </c>
    </row>
    <row r="10" spans="2:10" ht="15.75" x14ac:dyDescent="0.25">
      <c r="B10" s="52" t="s">
        <v>97</v>
      </c>
      <c r="C10" s="54">
        <v>5.4037499999999996</v>
      </c>
      <c r="D10" s="53" t="s">
        <v>74</v>
      </c>
      <c r="E10" s="53">
        <v>16.708750000000002</v>
      </c>
      <c r="F10" s="7" t="s">
        <v>74</v>
      </c>
      <c r="G10" s="50">
        <v>24.080000000000002</v>
      </c>
      <c r="H10" s="50" t="s">
        <v>74</v>
      </c>
      <c r="I10" s="7">
        <v>37.487499999999997</v>
      </c>
      <c r="J10" s="51" t="s">
        <v>74</v>
      </c>
    </row>
    <row r="11" spans="2:10" ht="16.5" thickBot="1" x14ac:dyDescent="0.3">
      <c r="B11" s="52" t="s">
        <v>98</v>
      </c>
      <c r="C11" s="54">
        <v>5.2837499999999995</v>
      </c>
      <c r="D11" s="53" t="s">
        <v>71</v>
      </c>
      <c r="E11" s="53">
        <v>14.796250000000001</v>
      </c>
      <c r="F11" s="7" t="s">
        <v>71</v>
      </c>
      <c r="G11" s="50">
        <v>23.54</v>
      </c>
      <c r="H11" s="50" t="s">
        <v>71</v>
      </c>
      <c r="I11" s="7">
        <v>36.90625</v>
      </c>
      <c r="J11" s="51" t="s">
        <v>71</v>
      </c>
    </row>
    <row r="12" spans="2:10" x14ac:dyDescent="0.25">
      <c r="B12" s="61" t="s">
        <v>73</v>
      </c>
      <c r="C12" s="62">
        <v>0.39198915584323329</v>
      </c>
      <c r="D12" s="63"/>
      <c r="E12" s="63">
        <v>0.3465202839462167</v>
      </c>
      <c r="F12" s="63"/>
      <c r="G12" s="64">
        <v>1.2985346716843416</v>
      </c>
      <c r="H12" s="64"/>
      <c r="I12" s="64">
        <v>0.44179300293510892</v>
      </c>
      <c r="J12" s="65"/>
    </row>
  </sheetData>
  <mergeCells count="2">
    <mergeCell ref="B2:B3"/>
    <mergeCell ref="C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F77B6-67ED-4831-821C-EA6C33EFDDD4}">
  <dimension ref="B1:S13"/>
  <sheetViews>
    <sheetView workbookViewId="0">
      <selection activeCell="M19" sqref="M19"/>
    </sheetView>
  </sheetViews>
  <sheetFormatPr defaultRowHeight="15" x14ac:dyDescent="0.25"/>
  <cols>
    <col min="3" max="3" width="6.140625" customWidth="1"/>
    <col min="4" max="4" width="3.7109375" customWidth="1"/>
    <col min="5" max="5" width="5.7109375" customWidth="1"/>
    <col min="6" max="6" width="2.7109375" customWidth="1"/>
    <col min="7" max="7" width="5.28515625" customWidth="1"/>
    <col min="8" max="8" width="3" customWidth="1"/>
    <col min="9" max="9" width="6" customWidth="1"/>
    <col min="10" max="10" width="3.140625" customWidth="1"/>
  </cols>
  <sheetData>
    <row r="1" spans="2:19" ht="15.75" thickBot="1" x14ac:dyDescent="0.3"/>
    <row r="2" spans="2:19" ht="15.75" thickBot="1" x14ac:dyDescent="0.3">
      <c r="B2" s="66" t="s">
        <v>68</v>
      </c>
      <c r="C2" s="66" t="s">
        <v>90</v>
      </c>
      <c r="D2" s="66"/>
      <c r="E2" s="85" t="s">
        <v>91</v>
      </c>
      <c r="F2" s="85"/>
      <c r="G2" s="85" t="s">
        <v>92</v>
      </c>
      <c r="H2" s="85"/>
      <c r="I2" s="85" t="s">
        <v>93</v>
      </c>
      <c r="J2" s="85"/>
    </row>
    <row r="3" spans="2:19" ht="15.75" thickBot="1" x14ac:dyDescent="0.3">
      <c r="B3" s="67" t="s">
        <v>76</v>
      </c>
      <c r="C3" s="68">
        <v>4.5950000000000006</v>
      </c>
      <c r="D3" s="67" t="s">
        <v>69</v>
      </c>
      <c r="E3" s="68">
        <v>11.6675</v>
      </c>
      <c r="F3" s="67" t="s">
        <v>69</v>
      </c>
      <c r="G3" s="68">
        <v>21.819999999999997</v>
      </c>
      <c r="H3" s="67" t="s">
        <v>69</v>
      </c>
      <c r="I3" s="68">
        <v>33.82</v>
      </c>
      <c r="J3" s="67" t="s">
        <v>69</v>
      </c>
    </row>
    <row r="4" spans="2:19" ht="15.75" thickBot="1" x14ac:dyDescent="0.3">
      <c r="B4" s="67" t="s">
        <v>99</v>
      </c>
      <c r="C4" s="68">
        <v>4.9700000000000006</v>
      </c>
      <c r="D4" s="67" t="s">
        <v>74</v>
      </c>
      <c r="E4" s="68">
        <v>14.755000000000001</v>
      </c>
      <c r="F4" s="67" t="s">
        <v>74</v>
      </c>
      <c r="G4" s="68">
        <v>23.022500000000001</v>
      </c>
      <c r="H4" s="67" t="s">
        <v>74</v>
      </c>
      <c r="I4" s="68">
        <v>35.825000000000003</v>
      </c>
      <c r="J4" s="67" t="s">
        <v>74</v>
      </c>
    </row>
    <row r="5" spans="2:19" ht="15.75" thickBot="1" x14ac:dyDescent="0.3">
      <c r="B5" s="67" t="s">
        <v>100</v>
      </c>
      <c r="C5" s="68">
        <v>4.8299999999999992</v>
      </c>
      <c r="D5" s="67" t="s">
        <v>71</v>
      </c>
      <c r="E5" s="68">
        <v>11.6675</v>
      </c>
      <c r="F5" s="67" t="s">
        <v>71</v>
      </c>
      <c r="G5" s="68">
        <v>22.409999999999997</v>
      </c>
      <c r="H5" s="67" t="s">
        <v>71</v>
      </c>
      <c r="I5" s="68">
        <v>35.482500000000002</v>
      </c>
      <c r="J5" s="67" t="s">
        <v>71</v>
      </c>
    </row>
    <row r="6" spans="2:19" ht="15.75" thickBot="1" x14ac:dyDescent="0.3">
      <c r="B6" s="67" t="s">
        <v>79</v>
      </c>
      <c r="C6" s="68">
        <v>4.7424999999999997</v>
      </c>
      <c r="D6" s="67" t="s">
        <v>82</v>
      </c>
      <c r="E6" s="68">
        <v>15.6875</v>
      </c>
      <c r="F6" s="67" t="s">
        <v>82</v>
      </c>
      <c r="G6" s="68">
        <v>23.022500000000001</v>
      </c>
      <c r="H6" s="67" t="s">
        <v>82</v>
      </c>
      <c r="I6" s="68">
        <v>38.112499999999997</v>
      </c>
      <c r="J6" s="67" t="s">
        <v>82</v>
      </c>
      <c r="M6" s="92" t="s">
        <v>101</v>
      </c>
      <c r="N6" s="92" t="s">
        <v>35</v>
      </c>
      <c r="O6" s="95" t="s">
        <v>102</v>
      </c>
      <c r="P6" s="95"/>
      <c r="Q6" s="95"/>
      <c r="R6" s="95"/>
      <c r="S6" s="92" t="s">
        <v>6</v>
      </c>
    </row>
    <row r="7" spans="2:19" ht="15.75" thickBot="1" x14ac:dyDescent="0.3">
      <c r="B7" s="67" t="s">
        <v>80</v>
      </c>
      <c r="C7" s="68">
        <v>5.8375000000000004</v>
      </c>
      <c r="D7" s="67" t="s">
        <v>70</v>
      </c>
      <c r="E7" s="68">
        <v>18.662499999999998</v>
      </c>
      <c r="F7" s="67" t="s">
        <v>70</v>
      </c>
      <c r="G7" s="68">
        <v>25.137500000000003</v>
      </c>
      <c r="H7" s="67" t="s">
        <v>70</v>
      </c>
      <c r="I7" s="68">
        <v>39.150000000000006</v>
      </c>
      <c r="J7" s="67" t="s">
        <v>70</v>
      </c>
      <c r="M7" s="93"/>
      <c r="N7" s="93"/>
      <c r="O7" s="94" t="s">
        <v>20</v>
      </c>
      <c r="P7" s="94" t="s">
        <v>23</v>
      </c>
      <c r="Q7" s="94" t="s">
        <v>26</v>
      </c>
      <c r="R7" s="94" t="s">
        <v>29</v>
      </c>
      <c r="S7" s="93"/>
    </row>
    <row r="8" spans="2:19" ht="16.5" thickBot="1" x14ac:dyDescent="0.3">
      <c r="B8" s="67" t="s">
        <v>81</v>
      </c>
      <c r="C8" s="68">
        <v>5.7375000000000007</v>
      </c>
      <c r="D8" s="67" t="s">
        <v>82</v>
      </c>
      <c r="E8" s="68">
        <v>17.924999999999997</v>
      </c>
      <c r="F8" s="67" t="s">
        <v>82</v>
      </c>
      <c r="G8" s="68">
        <v>24.67</v>
      </c>
      <c r="H8" s="67" t="s">
        <v>82</v>
      </c>
      <c r="I8" s="68">
        <v>38.33</v>
      </c>
      <c r="J8" s="67" t="s">
        <v>82</v>
      </c>
      <c r="M8" s="88" t="s">
        <v>4</v>
      </c>
      <c r="N8" s="88" t="s">
        <v>15</v>
      </c>
      <c r="O8" s="86">
        <v>4.7300000000000004</v>
      </c>
      <c r="P8" s="86">
        <v>4.5</v>
      </c>
      <c r="Q8" s="86">
        <v>4.55</v>
      </c>
      <c r="R8" s="86">
        <v>4.5999999999999996</v>
      </c>
      <c r="S8" s="89">
        <f>SUM(O8:R8)</f>
        <v>18.380000000000003</v>
      </c>
    </row>
    <row r="9" spans="2:19" ht="16.5" thickBot="1" x14ac:dyDescent="0.3">
      <c r="B9" s="69" t="s">
        <v>72</v>
      </c>
      <c r="C9" s="70">
        <v>9.9978476260170715E-2</v>
      </c>
      <c r="D9" s="69"/>
      <c r="E9" s="70">
        <v>0.12824991679325168</v>
      </c>
      <c r="F9" s="69"/>
      <c r="G9" s="70">
        <v>0.48722451773108155</v>
      </c>
      <c r="H9" s="69"/>
      <c r="I9" s="70">
        <v>0.30574144558345973</v>
      </c>
      <c r="J9" s="69"/>
      <c r="M9" s="96"/>
      <c r="N9" s="88" t="s">
        <v>16</v>
      </c>
      <c r="O9" s="86">
        <v>4.8</v>
      </c>
      <c r="P9" s="86">
        <v>5.12</v>
      </c>
      <c r="Q9" s="86">
        <v>4.9800000000000004</v>
      </c>
      <c r="R9" s="86">
        <v>4.9800000000000004</v>
      </c>
      <c r="S9" s="89">
        <f t="shared" ref="S9:S13" si="0">SUM(O9:R9)</f>
        <v>19.880000000000003</v>
      </c>
    </row>
    <row r="10" spans="2:19" ht="15.75" x14ac:dyDescent="0.25">
      <c r="M10" s="96"/>
      <c r="N10" s="88" t="s">
        <v>17</v>
      </c>
      <c r="O10" s="86">
        <v>4.76</v>
      </c>
      <c r="P10" s="86">
        <v>4.8</v>
      </c>
      <c r="Q10" s="86">
        <v>4.88</v>
      </c>
      <c r="R10" s="86">
        <v>4.88</v>
      </c>
      <c r="S10" s="89">
        <f t="shared" si="0"/>
        <v>19.319999999999997</v>
      </c>
    </row>
    <row r="11" spans="2:19" ht="15.75" x14ac:dyDescent="0.25">
      <c r="M11" s="88" t="s">
        <v>5</v>
      </c>
      <c r="N11" s="88" t="s">
        <v>15</v>
      </c>
      <c r="O11" s="86">
        <v>4.7699999999999996</v>
      </c>
      <c r="P11" s="86">
        <v>4.6500000000000004</v>
      </c>
      <c r="Q11" s="86">
        <v>4.8</v>
      </c>
      <c r="R11" s="86">
        <v>4.75</v>
      </c>
      <c r="S11" s="89">
        <f t="shared" si="0"/>
        <v>18.97</v>
      </c>
    </row>
    <row r="12" spans="2:19" ht="15.75" x14ac:dyDescent="0.25">
      <c r="M12" s="96"/>
      <c r="N12" s="88" t="s">
        <v>16</v>
      </c>
      <c r="O12" s="86">
        <v>5.6</v>
      </c>
      <c r="P12" s="86">
        <v>5.99</v>
      </c>
      <c r="Q12" s="86">
        <v>6</v>
      </c>
      <c r="R12" s="86">
        <v>5.76</v>
      </c>
      <c r="S12" s="89">
        <f t="shared" si="0"/>
        <v>23.35</v>
      </c>
    </row>
    <row r="13" spans="2:19" ht="15.75" x14ac:dyDescent="0.25">
      <c r="M13" s="90"/>
      <c r="N13" s="90" t="s">
        <v>17</v>
      </c>
      <c r="O13" s="87">
        <v>5.55</v>
      </c>
      <c r="P13" s="87">
        <v>5.77</v>
      </c>
      <c r="Q13" s="87">
        <v>5.64</v>
      </c>
      <c r="R13" s="87">
        <v>5.99</v>
      </c>
      <c r="S13" s="91">
        <f t="shared" si="0"/>
        <v>22.950000000000003</v>
      </c>
    </row>
  </sheetData>
  <mergeCells count="7">
    <mergeCell ref="O6:R6"/>
    <mergeCell ref="S6:S7"/>
    <mergeCell ref="E2:F2"/>
    <mergeCell ref="G2:H2"/>
    <mergeCell ref="I2:J2"/>
    <mergeCell ref="M6:M7"/>
    <mergeCell ref="N6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14 HST</vt:lpstr>
      <vt:lpstr>28 HST</vt:lpstr>
      <vt:lpstr>42 HST</vt:lpstr>
      <vt:lpstr>56 HST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10</dc:creator>
  <cp:lastModifiedBy>win 10</cp:lastModifiedBy>
  <dcterms:created xsi:type="dcterms:W3CDTF">2023-01-08T14:28:34Z</dcterms:created>
  <dcterms:modified xsi:type="dcterms:W3CDTF">2023-03-09T13:41:47Z</dcterms:modified>
</cp:coreProperties>
</file>